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E:\2020综合交通规划\武定县十四五及中长期交通规划\第十稿武定交通运输发展规划2022-9-16\"/>
    </mc:Choice>
  </mc:AlternateContent>
  <xr:revisionPtr revIDLastSave="0" documentId="13_ncr:1_{17ED7054-F97B-41B9-A3D3-5A350D38F93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十四五及中长期" sheetId="4" r:id="rId1"/>
    <sheet name="中长期" sheetId="5" state="hidden" r:id="rId2"/>
    <sheet name="十四五" sheetId="8" r:id="rId3"/>
    <sheet name="Sheet1" sheetId="6" r:id="rId4"/>
  </sheets>
  <definedNames>
    <definedName name="_xlnm._FilterDatabase" localSheetId="2" hidden="1">十四五!$A$3:$N$3</definedName>
    <definedName name="_xlnm._FilterDatabase" localSheetId="0" hidden="1">十四五及中长期!$A$3:$O$3</definedName>
    <definedName name="_xlnm._FilterDatabase" localSheetId="1" hidden="1">中长期!$A$3:$M$3</definedName>
    <definedName name="_xlnm.Print_Titles" localSheetId="2">十四五!$1:$3</definedName>
    <definedName name="_xlnm.Print_Titles" localSheetId="0">十四五及中长期!$1:$3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8" l="1"/>
  <c r="H73" i="8"/>
  <c r="H72" i="8" s="1"/>
  <c r="L72" i="8"/>
  <c r="K72" i="8"/>
  <c r="J72" i="8"/>
  <c r="I72" i="8"/>
  <c r="G72" i="8"/>
  <c r="H71" i="8"/>
  <c r="H70" i="8"/>
  <c r="H69" i="8"/>
  <c r="L68" i="8"/>
  <c r="K68" i="8"/>
  <c r="J68" i="8"/>
  <c r="I68" i="8"/>
  <c r="G68" i="8"/>
  <c r="H67" i="8"/>
  <c r="G67" i="8" s="1"/>
  <c r="H66" i="8"/>
  <c r="G66" i="8" s="1"/>
  <c r="H65" i="8"/>
  <c r="G65" i="8" s="1"/>
  <c r="H64" i="8"/>
  <c r="H63" i="8"/>
  <c r="G63" i="8" s="1"/>
  <c r="H62" i="8"/>
  <c r="G62" i="8" s="1"/>
  <c r="H61" i="8"/>
  <c r="G61" i="8" s="1"/>
  <c r="H60" i="8"/>
  <c r="L59" i="8"/>
  <c r="K59" i="8"/>
  <c r="J59" i="8"/>
  <c r="I59" i="8"/>
  <c r="H58" i="8"/>
  <c r="L57" i="8"/>
  <c r="K57" i="8"/>
  <c r="J57" i="8"/>
  <c r="I57" i="8"/>
  <c r="G57" i="8"/>
  <c r="H56" i="8"/>
  <c r="H55" i="8" s="1"/>
  <c r="L55" i="8"/>
  <c r="K55" i="8"/>
  <c r="J55" i="8"/>
  <c r="I55" i="8"/>
  <c r="G55" i="8"/>
  <c r="I54" i="8"/>
  <c r="H54" i="8" s="1"/>
  <c r="I53" i="8"/>
  <c r="H53" i="8" s="1"/>
  <c r="I52" i="8"/>
  <c r="H52" i="8" s="1"/>
  <c r="I51" i="8"/>
  <c r="H51" i="8" s="1"/>
  <c r="I50" i="8"/>
  <c r="H50" i="8" s="1"/>
  <c r="I49" i="8"/>
  <c r="H49" i="8" s="1"/>
  <c r="I48" i="8"/>
  <c r="H48" i="8" s="1"/>
  <c r="I47" i="8"/>
  <c r="H47" i="8" s="1"/>
  <c r="I46" i="8"/>
  <c r="H46" i="8" s="1"/>
  <c r="I45" i="8"/>
  <c r="H45" i="8" s="1"/>
  <c r="I44" i="8"/>
  <c r="L43" i="8"/>
  <c r="L30" i="8" s="1"/>
  <c r="K43" i="8"/>
  <c r="J43" i="8"/>
  <c r="J30" i="8" s="1"/>
  <c r="I42" i="8"/>
  <c r="H42" i="8" s="1"/>
  <c r="G42" i="8" s="1"/>
  <c r="I41" i="8"/>
  <c r="H41" i="8" s="1"/>
  <c r="G41" i="8" s="1"/>
  <c r="I40" i="8"/>
  <c r="H40" i="8" s="1"/>
  <c r="G40" i="8" s="1"/>
  <c r="I39" i="8"/>
  <c r="H39" i="8" s="1"/>
  <c r="G39" i="8" s="1"/>
  <c r="I38" i="8"/>
  <c r="H38" i="8" s="1"/>
  <c r="G38" i="8" s="1"/>
  <c r="I37" i="8"/>
  <c r="H37" i="8" s="1"/>
  <c r="G37" i="8" s="1"/>
  <c r="I36" i="8"/>
  <c r="H36" i="8" s="1"/>
  <c r="G36" i="8" s="1"/>
  <c r="I35" i="8"/>
  <c r="H35" i="8" s="1"/>
  <c r="G35" i="8" s="1"/>
  <c r="I34" i="8"/>
  <c r="H34" i="8" s="1"/>
  <c r="G34" i="8" s="1"/>
  <c r="I33" i="8"/>
  <c r="H33" i="8" s="1"/>
  <c r="G33" i="8" s="1"/>
  <c r="I32" i="8"/>
  <c r="K30" i="8"/>
  <c r="H29" i="8"/>
  <c r="L28" i="8"/>
  <c r="K28" i="8"/>
  <c r="J28" i="8"/>
  <c r="I28" i="8"/>
  <c r="G28" i="8"/>
  <c r="H27" i="8"/>
  <c r="H26" i="8"/>
  <c r="H25" i="8"/>
  <c r="L23" i="8"/>
  <c r="K23" i="8"/>
  <c r="J23" i="8"/>
  <c r="I23" i="8"/>
  <c r="G23" i="8"/>
  <c r="H22" i="8"/>
  <c r="H21" i="8"/>
  <c r="H20" i="8"/>
  <c r="H19" i="8"/>
  <c r="H18" i="8"/>
  <c r="L17" i="8"/>
  <c r="K17" i="8"/>
  <c r="J17" i="8"/>
  <c r="I17" i="8"/>
  <c r="G17" i="8"/>
  <c r="H16" i="8"/>
  <c r="H15" i="8" s="1"/>
  <c r="L15" i="8"/>
  <c r="K15" i="8"/>
  <c r="J15" i="8"/>
  <c r="I15" i="8"/>
  <c r="G15" i="8"/>
  <c r="H14" i="8"/>
  <c r="H13" i="8" s="1"/>
  <c r="L13" i="8"/>
  <c r="K13" i="8"/>
  <c r="J13" i="8"/>
  <c r="I13" i="8"/>
  <c r="G13" i="8"/>
  <c r="H12" i="8"/>
  <c r="L11" i="8"/>
  <c r="K11" i="8"/>
  <c r="J11" i="8"/>
  <c r="I11" i="8"/>
  <c r="G11" i="8"/>
  <c r="H10" i="8"/>
  <c r="H9" i="8"/>
  <c r="H8" i="8"/>
  <c r="L7" i="8"/>
  <c r="K7" i="8"/>
  <c r="J7" i="8"/>
  <c r="I7" i="8"/>
  <c r="G7" i="8"/>
  <c r="H6" i="8"/>
  <c r="H5" i="8" s="1"/>
  <c r="L5" i="8"/>
  <c r="K5" i="8"/>
  <c r="J5" i="8"/>
  <c r="I5" i="8"/>
  <c r="G5" i="8"/>
  <c r="I83" i="4"/>
  <c r="H83" i="4" s="1"/>
  <c r="I80" i="4"/>
  <c r="I81" i="4"/>
  <c r="I79" i="4"/>
  <c r="H79" i="4" s="1"/>
  <c r="I75" i="4"/>
  <c r="H75" i="4" s="1"/>
  <c r="I76" i="4"/>
  <c r="I77" i="4"/>
  <c r="I71" i="4"/>
  <c r="I72" i="4"/>
  <c r="I69" i="4" s="1"/>
  <c r="H16" i="6" s="1"/>
  <c r="I73" i="4"/>
  <c r="I74" i="4"/>
  <c r="I70" i="4"/>
  <c r="I68" i="4"/>
  <c r="H68" i="4" s="1"/>
  <c r="I67" i="4"/>
  <c r="H67" i="4" s="1"/>
  <c r="I65" i="4"/>
  <c r="I55" i="4"/>
  <c r="I63" i="4"/>
  <c r="G63" i="4" s="1"/>
  <c r="H63" i="4" s="1"/>
  <c r="I44" i="4"/>
  <c r="I41" i="4"/>
  <c r="G41" i="4" s="1"/>
  <c r="H41" i="4" s="1"/>
  <c r="I38" i="4"/>
  <c r="H38" i="4" s="1"/>
  <c r="I30" i="4"/>
  <c r="I31" i="4"/>
  <c r="I32" i="4"/>
  <c r="H32" i="4" s="1"/>
  <c r="I33" i="4"/>
  <c r="H33" i="4" s="1"/>
  <c r="I34" i="4"/>
  <c r="I35" i="4"/>
  <c r="I36" i="4"/>
  <c r="H36" i="4" s="1"/>
  <c r="I24" i="4"/>
  <c r="I25" i="4"/>
  <c r="I26" i="4"/>
  <c r="I27" i="4"/>
  <c r="G21" i="5" s="1"/>
  <c r="I23" i="4"/>
  <c r="I21" i="4"/>
  <c r="I19" i="4"/>
  <c r="I20" i="4"/>
  <c r="H9" i="6" s="1"/>
  <c r="J9" i="6" s="1"/>
  <c r="I15" i="4"/>
  <c r="H15" i="4" s="1"/>
  <c r="I16" i="4"/>
  <c r="I17" i="4"/>
  <c r="I14" i="4"/>
  <c r="H14" i="4" s="1"/>
  <c r="H17" i="4"/>
  <c r="H19" i="4"/>
  <c r="H21" i="4"/>
  <c r="H23" i="4"/>
  <c r="H24" i="4"/>
  <c r="H25" i="4"/>
  <c r="H26" i="4"/>
  <c r="H30" i="4"/>
  <c r="H31" i="4"/>
  <c r="H34" i="4"/>
  <c r="H35" i="4"/>
  <c r="H65" i="4"/>
  <c r="H80" i="4"/>
  <c r="H81" i="4"/>
  <c r="H16" i="4"/>
  <c r="I9" i="4"/>
  <c r="I10" i="4"/>
  <c r="H10" i="4" s="1"/>
  <c r="I11" i="4"/>
  <c r="H11" i="4" s="1"/>
  <c r="I12" i="4"/>
  <c r="H12" i="4" s="1"/>
  <c r="I8" i="4"/>
  <c r="H8" i="4" s="1"/>
  <c r="I6" i="4"/>
  <c r="H6" i="4" s="1"/>
  <c r="H9" i="4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  <c r="G5" i="6"/>
  <c r="F5" i="6"/>
  <c r="H41" i="5"/>
  <c r="G41" i="5"/>
  <c r="G40" i="5" s="1"/>
  <c r="H40" i="5"/>
  <c r="H39" i="5"/>
  <c r="G39" i="5"/>
  <c r="H38" i="5"/>
  <c r="G38" i="5"/>
  <c r="H37" i="5"/>
  <c r="H36" i="5" s="1"/>
  <c r="G37" i="5"/>
  <c r="G36" i="5" s="1"/>
  <c r="H35" i="5"/>
  <c r="G35" i="5"/>
  <c r="H34" i="5"/>
  <c r="G34" i="5"/>
  <c r="H33" i="5"/>
  <c r="H32" i="5" s="1"/>
  <c r="G33" i="5"/>
  <c r="G32" i="5" s="1"/>
  <c r="H31" i="5"/>
  <c r="H30" i="5"/>
  <c r="H29" i="5" s="1"/>
  <c r="G30" i="5"/>
  <c r="G29" i="5" s="1"/>
  <c r="H25" i="5"/>
  <c r="G25" i="5"/>
  <c r="H24" i="5"/>
  <c r="G24" i="5"/>
  <c r="H23" i="5"/>
  <c r="H22" i="5" s="1"/>
  <c r="G23" i="5"/>
  <c r="G22" i="5" s="1"/>
  <c r="H21" i="5"/>
  <c r="H19" i="5"/>
  <c r="G19" i="5"/>
  <c r="H16" i="5"/>
  <c r="G16" i="5"/>
  <c r="H14" i="5"/>
  <c r="H13" i="5" s="1"/>
  <c r="G14" i="5"/>
  <c r="G13" i="5" s="1"/>
  <c r="H12" i="5"/>
  <c r="H11" i="5" s="1"/>
  <c r="G12" i="5"/>
  <c r="G11" i="5" s="1"/>
  <c r="H10" i="5"/>
  <c r="G10" i="5"/>
  <c r="H9" i="5"/>
  <c r="G9" i="5"/>
  <c r="H8" i="5"/>
  <c r="H7" i="5" s="1"/>
  <c r="G8" i="5"/>
  <c r="G7" i="5" s="1"/>
  <c r="H6" i="5"/>
  <c r="H5" i="5"/>
  <c r="M82" i="4"/>
  <c r="L82" i="4"/>
  <c r="K82" i="4"/>
  <c r="J82" i="4"/>
  <c r="G82" i="4"/>
  <c r="I18" i="6" s="1"/>
  <c r="M78" i="4"/>
  <c r="L78" i="4"/>
  <c r="K78" i="4"/>
  <c r="J78" i="4"/>
  <c r="I78" i="4"/>
  <c r="H17" i="6" s="1"/>
  <c r="G78" i="4"/>
  <c r="I17" i="6" s="1"/>
  <c r="G77" i="4"/>
  <c r="H77" i="4" s="1"/>
  <c r="G76" i="4"/>
  <c r="H76" i="4" s="1"/>
  <c r="G75" i="4"/>
  <c r="G73" i="4"/>
  <c r="H73" i="4" s="1"/>
  <c r="G71" i="4"/>
  <c r="H71" i="4" s="1"/>
  <c r="G70" i="4"/>
  <c r="H70" i="4" s="1"/>
  <c r="M69" i="4"/>
  <c r="L69" i="4"/>
  <c r="K69" i="4"/>
  <c r="J69" i="4"/>
  <c r="M66" i="4"/>
  <c r="L66" i="4"/>
  <c r="K66" i="4"/>
  <c r="J66" i="4"/>
  <c r="G66" i="4"/>
  <c r="I15" i="6" s="1"/>
  <c r="M64" i="4"/>
  <c r="L64" i="4"/>
  <c r="K64" i="4"/>
  <c r="J64" i="4"/>
  <c r="I64" i="4"/>
  <c r="H14" i="6" s="1"/>
  <c r="G64" i="4"/>
  <c r="I14" i="6" s="1"/>
  <c r="J63" i="4"/>
  <c r="J62" i="4"/>
  <c r="I62" i="4" s="1"/>
  <c r="J61" i="4"/>
  <c r="I61" i="4" s="1"/>
  <c r="J60" i="4"/>
  <c r="I60" i="4" s="1"/>
  <c r="J59" i="4"/>
  <c r="I59" i="4" s="1"/>
  <c r="G59" i="4" s="1"/>
  <c r="H59" i="4" s="1"/>
  <c r="J58" i="4"/>
  <c r="I58" i="4" s="1"/>
  <c r="G58" i="4" s="1"/>
  <c r="H58" i="4" s="1"/>
  <c r="J57" i="4"/>
  <c r="I57" i="4" s="1"/>
  <c r="J56" i="4"/>
  <c r="I56" i="4" s="1"/>
  <c r="J55" i="4"/>
  <c r="J54" i="4"/>
  <c r="I54" i="4" s="1"/>
  <c r="J53" i="4"/>
  <c r="I53" i="4" s="1"/>
  <c r="M52" i="4"/>
  <c r="M39" i="4" s="1"/>
  <c r="L52" i="4"/>
  <c r="L39" i="4" s="1"/>
  <c r="K52" i="4"/>
  <c r="K39" i="4" s="1"/>
  <c r="J51" i="4"/>
  <c r="I51" i="4" s="1"/>
  <c r="G51" i="4" s="1"/>
  <c r="H51" i="4" s="1"/>
  <c r="J50" i="4"/>
  <c r="I50" i="4" s="1"/>
  <c r="G50" i="4" s="1"/>
  <c r="H50" i="4" s="1"/>
  <c r="J49" i="4"/>
  <c r="I49" i="4" s="1"/>
  <c r="G49" i="4" s="1"/>
  <c r="J48" i="4"/>
  <c r="I48" i="4" s="1"/>
  <c r="G48" i="4" s="1"/>
  <c r="H48" i="4" s="1"/>
  <c r="J47" i="4"/>
  <c r="I47" i="4" s="1"/>
  <c r="G47" i="4" s="1"/>
  <c r="H47" i="4" s="1"/>
  <c r="J46" i="4"/>
  <c r="I46" i="4" s="1"/>
  <c r="G46" i="4" s="1"/>
  <c r="H46" i="4" s="1"/>
  <c r="J45" i="4"/>
  <c r="I45" i="4" s="1"/>
  <c r="G45" i="4" s="1"/>
  <c r="H45" i="4" s="1"/>
  <c r="J44" i="4"/>
  <c r="G44" i="4"/>
  <c r="H44" i="4" s="1"/>
  <c r="J43" i="4"/>
  <c r="I43" i="4" s="1"/>
  <c r="G43" i="4" s="1"/>
  <c r="H43" i="4" s="1"/>
  <c r="J42" i="4"/>
  <c r="I42" i="4" s="1"/>
  <c r="G42" i="4" s="1"/>
  <c r="H42" i="4" s="1"/>
  <c r="J41" i="4"/>
  <c r="M37" i="4"/>
  <c r="L37" i="4"/>
  <c r="K37" i="4"/>
  <c r="J37" i="4"/>
  <c r="I37" i="4"/>
  <c r="H12" i="6" s="1"/>
  <c r="G37" i="4"/>
  <c r="I12" i="6" s="1"/>
  <c r="M28" i="4"/>
  <c r="L28" i="4"/>
  <c r="K28" i="4"/>
  <c r="G28" i="4"/>
  <c r="I11" i="6" s="1"/>
  <c r="M22" i="4"/>
  <c r="L22" i="4"/>
  <c r="K22" i="4"/>
  <c r="J22" i="4"/>
  <c r="G22" i="4"/>
  <c r="I10" i="6" s="1"/>
  <c r="M20" i="4"/>
  <c r="L20" i="4"/>
  <c r="K20" i="4"/>
  <c r="J20" i="4"/>
  <c r="G20" i="4"/>
  <c r="I9" i="6" s="1"/>
  <c r="M18" i="4"/>
  <c r="L18" i="4"/>
  <c r="K18" i="4"/>
  <c r="J18" i="4"/>
  <c r="I18" i="4"/>
  <c r="H8" i="6" s="1"/>
  <c r="G18" i="4"/>
  <c r="I8" i="6" s="1"/>
  <c r="M13" i="4"/>
  <c r="L13" i="4"/>
  <c r="K13" i="4"/>
  <c r="J13" i="4"/>
  <c r="G13" i="4"/>
  <c r="I7" i="6" s="1"/>
  <c r="M7" i="4"/>
  <c r="L7" i="4"/>
  <c r="K7" i="4"/>
  <c r="J7" i="4"/>
  <c r="G7" i="4"/>
  <c r="I6" i="6" s="1"/>
  <c r="M5" i="4"/>
  <c r="L5" i="4"/>
  <c r="K5" i="4"/>
  <c r="J5" i="4"/>
  <c r="G5" i="4"/>
  <c r="I5" i="6" s="1"/>
  <c r="G6" i="5" l="1"/>
  <c r="G5" i="5" s="1"/>
  <c r="H68" i="8"/>
  <c r="H23" i="8"/>
  <c r="L4" i="8"/>
  <c r="H7" i="8"/>
  <c r="I43" i="8"/>
  <c r="H11" i="8"/>
  <c r="I31" i="8"/>
  <c r="K4" i="8"/>
  <c r="H32" i="8"/>
  <c r="G49" i="8"/>
  <c r="J4" i="8"/>
  <c r="G46" i="8"/>
  <c r="G50" i="8"/>
  <c r="G54" i="8"/>
  <c r="G45" i="8"/>
  <c r="G47" i="8"/>
  <c r="G51" i="8"/>
  <c r="G53" i="8"/>
  <c r="G48" i="8"/>
  <c r="G52" i="8"/>
  <c r="H44" i="8"/>
  <c r="H59" i="8"/>
  <c r="H17" i="8"/>
  <c r="H28" i="8"/>
  <c r="H57" i="8"/>
  <c r="G60" i="8"/>
  <c r="G64" i="8"/>
  <c r="G54" i="4"/>
  <c r="H54" i="4"/>
  <c r="G62" i="4"/>
  <c r="H62" i="4"/>
  <c r="G56" i="4"/>
  <c r="H56" i="4" s="1"/>
  <c r="G53" i="4"/>
  <c r="H53" i="4" s="1"/>
  <c r="G57" i="4"/>
  <c r="H57" i="4" s="1"/>
  <c r="I13" i="4"/>
  <c r="H7" i="6" s="1"/>
  <c r="J7" i="6" s="1"/>
  <c r="H64" i="4"/>
  <c r="I5" i="4"/>
  <c r="H5" i="4" s="1"/>
  <c r="I66" i="4"/>
  <c r="H15" i="6" s="1"/>
  <c r="J15" i="6" s="1"/>
  <c r="G72" i="4"/>
  <c r="H72" i="4" s="1"/>
  <c r="I82" i="4"/>
  <c r="H18" i="6" s="1"/>
  <c r="J18" i="6" s="1"/>
  <c r="G31" i="5"/>
  <c r="H20" i="4"/>
  <c r="I22" i="4"/>
  <c r="H10" i="6" s="1"/>
  <c r="H82" i="4"/>
  <c r="H78" i="4"/>
  <c r="G74" i="4"/>
  <c r="H74" i="4" s="1"/>
  <c r="G60" i="4"/>
  <c r="H60" i="4" s="1"/>
  <c r="H49" i="4"/>
  <c r="H37" i="4"/>
  <c r="H27" i="4"/>
  <c r="H22" i="4"/>
  <c r="H18" i="4"/>
  <c r="H13" i="4"/>
  <c r="I7" i="4"/>
  <c r="G40" i="4"/>
  <c r="J40" i="4"/>
  <c r="J14" i="6"/>
  <c r="J17" i="6"/>
  <c r="J52" i="4"/>
  <c r="G55" i="4"/>
  <c r="H55" i="4" s="1"/>
  <c r="G61" i="4"/>
  <c r="H61" i="4" s="1"/>
  <c r="M4" i="4"/>
  <c r="L4" i="4"/>
  <c r="K4" i="4"/>
  <c r="H28" i="5"/>
  <c r="H27" i="5" s="1"/>
  <c r="H4" i="5" s="1"/>
  <c r="J39" i="4"/>
  <c r="J8" i="6"/>
  <c r="J10" i="6"/>
  <c r="J12" i="6"/>
  <c r="I52" i="4"/>
  <c r="I40" i="4"/>
  <c r="H5" i="6"/>
  <c r="I30" i="8" l="1"/>
  <c r="I4" i="8" s="1"/>
  <c r="H31" i="8"/>
  <c r="G32" i="8"/>
  <c r="G31" i="8" s="1"/>
  <c r="G44" i="8"/>
  <c r="G43" i="8" s="1"/>
  <c r="H43" i="8"/>
  <c r="G59" i="8"/>
  <c r="G69" i="4"/>
  <c r="H66" i="4"/>
  <c r="I16" i="6"/>
  <c r="J16" i="6" s="1"/>
  <c r="H69" i="4"/>
  <c r="G52" i="4"/>
  <c r="G39" i="4" s="1"/>
  <c r="H40" i="4"/>
  <c r="H6" i="6"/>
  <c r="J6" i="6" s="1"/>
  <c r="H7" i="4"/>
  <c r="J5" i="6"/>
  <c r="G28" i="5"/>
  <c r="G27" i="5" s="1"/>
  <c r="G4" i="5" s="1"/>
  <c r="I39" i="4"/>
  <c r="G30" i="8" l="1"/>
  <c r="G4" i="8" s="1"/>
  <c r="H30" i="8"/>
  <c r="I13" i="6"/>
  <c r="I19" i="6" s="1"/>
  <c r="G4" i="4"/>
  <c r="H52" i="4"/>
  <c r="H39" i="4"/>
  <c r="H13" i="6"/>
  <c r="H4" i="8" l="1"/>
  <c r="J13" i="6"/>
  <c r="J28" i="4"/>
  <c r="I29" i="4"/>
  <c r="I28" i="4" s="1"/>
  <c r="H28" i="4" l="1"/>
  <c r="H11" i="6"/>
  <c r="I4" i="4"/>
  <c r="H4" i="4" s="1"/>
  <c r="H29" i="4"/>
  <c r="J4" i="4"/>
  <c r="J11" i="6" l="1"/>
  <c r="H19" i="6"/>
  <c r="J19" i="6" s="1"/>
</calcChain>
</file>

<file path=xl/sharedStrings.xml><?xml version="1.0" encoding="utf-8"?>
<sst xmlns="http://schemas.openxmlformats.org/spreadsheetml/2006/main" count="1068" uniqueCount="296">
  <si>
    <t>序号</t>
  </si>
  <si>
    <t>项目名称</t>
  </si>
  <si>
    <t>建设
性质</t>
  </si>
  <si>
    <t>建设起
止年限</t>
  </si>
  <si>
    <t>建设地点</t>
  </si>
  <si>
    <t>建设内容和规模</t>
  </si>
  <si>
    <t>总投资
（万元）</t>
  </si>
  <si>
    <t>资金筹措方案（万元）</t>
  </si>
  <si>
    <t>建设单位</t>
  </si>
  <si>
    <t>备注</t>
  </si>
  <si>
    <t>政府</t>
  </si>
  <si>
    <t>银行贷款</t>
  </si>
  <si>
    <t>自筹</t>
  </si>
  <si>
    <t>其他</t>
  </si>
  <si>
    <t>一</t>
  </si>
  <si>
    <t>综合交通（共43项）合计</t>
  </si>
  <si>
    <t>（一）</t>
  </si>
  <si>
    <t>民航</t>
  </si>
  <si>
    <t>武定通用机场建设项目</t>
  </si>
  <si>
    <t>新建</t>
  </si>
  <si>
    <r>
      <rPr>
        <sz val="9"/>
        <color theme="1"/>
        <rFont val="宋体"/>
        <family val="3"/>
        <charset val="134"/>
        <scheme val="minor"/>
      </rPr>
      <t>202</t>
    </r>
    <r>
      <rPr>
        <sz val="9"/>
        <color theme="1"/>
        <rFont val="宋体"/>
        <family val="3"/>
        <charset val="134"/>
        <scheme val="minor"/>
      </rPr>
      <t>5</t>
    </r>
    <r>
      <rPr>
        <sz val="9"/>
        <color theme="1"/>
        <rFont val="宋体"/>
        <family val="3"/>
        <charset val="134"/>
        <scheme val="minor"/>
      </rPr>
      <t>-2030</t>
    </r>
  </si>
  <si>
    <t>武定县境内</t>
  </si>
  <si>
    <t>占地面积5000亩，年旅客吞吐量26万人次，飞行区技术指标为3C级。建设一类通用机场及航空产业园区</t>
  </si>
  <si>
    <t>引进或组建项目单位</t>
  </si>
  <si>
    <t>（二）</t>
  </si>
  <si>
    <t>铁路</t>
  </si>
  <si>
    <t>成都—昆明高速铁路(云南段)</t>
  </si>
  <si>
    <t>永仁、元谋、武定、富民</t>
  </si>
  <si>
    <t>高速铁路，正线全长180公里，双线，350公里/小时</t>
  </si>
  <si>
    <t>中国铁路成都局集团有限公司</t>
  </si>
  <si>
    <t>2027-2028</t>
  </si>
  <si>
    <t>武定、禄劝、寻甸</t>
  </si>
  <si>
    <t>路线全长105公里。双线，200公里/小时</t>
  </si>
  <si>
    <t>昆明—武定—元谋城际铁路</t>
  </si>
  <si>
    <r>
      <rPr>
        <sz val="9"/>
        <color theme="1"/>
        <rFont val="宋体"/>
        <family val="3"/>
        <charset val="134"/>
        <scheme val="minor"/>
      </rPr>
      <t>202</t>
    </r>
    <r>
      <rPr>
        <sz val="9"/>
        <color theme="1"/>
        <rFont val="宋体"/>
        <family val="3"/>
        <charset val="134"/>
        <scheme val="minor"/>
      </rPr>
      <t>5</t>
    </r>
    <r>
      <rPr>
        <sz val="9"/>
        <color theme="1"/>
        <rFont val="宋体"/>
        <family val="3"/>
        <charset val="134"/>
        <scheme val="minor"/>
      </rPr>
      <t>-2032</t>
    </r>
  </si>
  <si>
    <t>昆明、富民、武定、元谋</t>
  </si>
  <si>
    <t>建设标准为城际铁路，200公里/小时，路线全长150公里</t>
  </si>
  <si>
    <t>楚雄—武定—会理铁路项目（云南段）</t>
  </si>
  <si>
    <t>2028-2035</t>
  </si>
  <si>
    <t>楚雄、武定、会理</t>
  </si>
  <si>
    <t>设计时速200km/h，全长179公里</t>
  </si>
  <si>
    <t>武定高铁站片区综合开发项目</t>
  </si>
  <si>
    <t>2025-2030</t>
  </si>
  <si>
    <t>狮山镇</t>
  </si>
  <si>
    <t>占地1000亩，建设高铁站配套市政设施及服务设施</t>
  </si>
  <si>
    <t>（三）</t>
  </si>
  <si>
    <t>高速公路、一级公路</t>
  </si>
  <si>
    <t>云南武定—四川会理高速（武定段）</t>
  </si>
  <si>
    <t>2026-2031</t>
  </si>
  <si>
    <t>楚雄州交通运输局</t>
  </si>
  <si>
    <t>武定—禄丰—双柏高速公路（武定段）</t>
  </si>
  <si>
    <t>2023-2025</t>
  </si>
  <si>
    <t>G5京昆高速武定县城段改线</t>
  </si>
  <si>
    <t>2027-2031</t>
  </si>
  <si>
    <t>京昆高速G5武定县城收费站段改造项目。改造线路起于老鹰地，途径后冲、凤鸣村、麻栗园，止于沙朗，路线设置2座大桥（K2+050桥长800m、K3+700桥长450m），武定收费站设置在K4+800处，采用喇叭立交出入，并与老路G5衔接进入武定县城</t>
  </si>
  <si>
    <t>金沙江南岸沿江一级公路（武定段）</t>
  </si>
  <si>
    <t>2027-2030</t>
  </si>
  <si>
    <t>新建38公里一级公路，沥青混凝土路面</t>
  </si>
  <si>
    <t>武定县交通运输局</t>
  </si>
  <si>
    <t>（四）</t>
  </si>
  <si>
    <t>国道</t>
  </si>
  <si>
    <t>G108武定县境内（马头山—武定木果甸）提升改造</t>
  </si>
  <si>
    <t>改建</t>
  </si>
  <si>
    <t>改建74公里二级公路，沥青混凝土路面</t>
  </si>
  <si>
    <t>（五）</t>
  </si>
  <si>
    <t>省道</t>
  </si>
  <si>
    <t>S215（倘甸至新平）武定段提升改造</t>
  </si>
  <si>
    <t>改建17公里一级公路，沥青混凝土路面</t>
  </si>
  <si>
    <t>（六）</t>
  </si>
  <si>
    <t>县际联网公路</t>
  </si>
  <si>
    <t>武定县禄劝汤郎—武定己衣—万德—东坡—元谋江边二级公路建设项目</t>
  </si>
  <si>
    <t>2025-2035</t>
  </si>
  <si>
    <t>二级公路101公里</t>
  </si>
  <si>
    <t>禄劝县云龙交界—元谋县凉山交界二级公路建设项目</t>
  </si>
  <si>
    <t>2025-2032</t>
  </si>
  <si>
    <t>发窝乡、田心乡、东坡乡、环州乡</t>
  </si>
  <si>
    <t>111公里二级公路，沥青混凝土路面</t>
  </si>
  <si>
    <t>武定田心—禄丰高峰交界二级公路建设项目</t>
  </si>
  <si>
    <t>武定县田心乡、高桥镇、猫街镇</t>
  </si>
  <si>
    <t>77.4公里二级公路，沥青混凝土路面</t>
  </si>
  <si>
    <t>狮山镇禄金—元谋县老者格二级公路</t>
  </si>
  <si>
    <t>2025-2033</t>
  </si>
  <si>
    <t>狮山镇、猫街镇、白路镇</t>
  </si>
  <si>
    <t>90公里二级公路，沥青混凝土路面</t>
  </si>
  <si>
    <t>武定环州—元谋县老者格二级公路</t>
  </si>
  <si>
    <t>2025-2031</t>
  </si>
  <si>
    <t>环州乡、白路镇</t>
  </si>
  <si>
    <t>71公里二级公路，沥青混凝土路面</t>
  </si>
  <si>
    <t>（七）</t>
  </si>
  <si>
    <t>主要经济干线</t>
  </si>
  <si>
    <t>武定县九厂—己衣一级公路建设项目</t>
  </si>
  <si>
    <t>2026-2030</t>
  </si>
  <si>
    <t>狮山镇、插甸镇、发窝乡、己衣镇</t>
  </si>
  <si>
    <t>130公里一级公路，沥青混凝土路面</t>
  </si>
  <si>
    <t>武定县长冲—己衣二级公路建设项目</t>
  </si>
  <si>
    <t>改建97公里二级公路，沥青混凝土路面</t>
  </si>
  <si>
    <t>武定县长冲—九厂二级公路建设项目</t>
  </si>
  <si>
    <t>2028-2032</t>
  </si>
  <si>
    <t>37公里二级公路，沥青混凝土路面</t>
  </si>
  <si>
    <t>武定县山品—东坡二级公路建设项目</t>
  </si>
  <si>
    <t>发窝乡、东坡乡</t>
  </si>
  <si>
    <t>52公里二级公路改建沥青混凝土路面</t>
  </si>
  <si>
    <t>白路至环州公路提升改造项目</t>
  </si>
  <si>
    <t>2020-2022</t>
  </si>
  <si>
    <t>白路镇、环州乡</t>
  </si>
  <si>
    <t>52公里提升改造</t>
  </si>
  <si>
    <t>武定县沙拉箐—东坡提升改造项目</t>
  </si>
  <si>
    <t>高桥镇 东坡乡</t>
  </si>
  <si>
    <t>57公里提升改造</t>
  </si>
  <si>
    <t>武定县交运局</t>
  </si>
  <si>
    <t>武定县樟子树—万德提升改造项目</t>
  </si>
  <si>
    <t>2022-2024</t>
  </si>
  <si>
    <t>20公里提升改造</t>
  </si>
  <si>
    <t>武定县九厂—猫街提升改造项目</t>
  </si>
  <si>
    <t>狮山镇 猫街镇</t>
  </si>
  <si>
    <t>33公里提升改造</t>
  </si>
  <si>
    <t>（八）</t>
  </si>
  <si>
    <t>建制村公路</t>
  </si>
  <si>
    <t>武定县建制村公路提升改造项目</t>
  </si>
  <si>
    <t>改扩建</t>
  </si>
  <si>
    <r>
      <rPr>
        <sz val="9"/>
        <rFont val="宋体"/>
        <family val="3"/>
        <charset val="134"/>
        <scheme val="minor"/>
      </rPr>
      <t>2021-202</t>
    </r>
    <r>
      <rPr>
        <sz val="9"/>
        <rFont val="宋体"/>
        <family val="3"/>
        <charset val="134"/>
        <scheme val="minor"/>
      </rPr>
      <t>7</t>
    </r>
  </si>
  <si>
    <t>250公里四级公路提升改造</t>
  </si>
  <si>
    <t>（九）</t>
  </si>
  <si>
    <t>自然村公路工程</t>
  </si>
  <si>
    <t>武定县50户以上不搬迁自然村公路</t>
  </si>
  <si>
    <t>2021-2025</t>
  </si>
  <si>
    <t>839.384公里自然村等外公路改扩建</t>
  </si>
  <si>
    <t>⑴</t>
  </si>
  <si>
    <t>狮山镇50户以上不搬迁自然村公路</t>
  </si>
  <si>
    <t>199.366公里自然村等外公路改扩建</t>
  </si>
  <si>
    <t>⑵</t>
  </si>
  <si>
    <t>高桥镇50户以上不搬迁自然村公路</t>
  </si>
  <si>
    <t>高桥镇</t>
  </si>
  <si>
    <t>144.34公里自然村等外公路改扩建</t>
  </si>
  <si>
    <t>⑶</t>
  </si>
  <si>
    <t>猫街镇50户以上不搬迁自然村公路</t>
  </si>
  <si>
    <t>猫街镇</t>
  </si>
  <si>
    <t>131.344公里自然村等外公路改扩建</t>
  </si>
  <si>
    <t>⑷</t>
  </si>
  <si>
    <t>插甸镇50户以上不搬迁自然村公路</t>
  </si>
  <si>
    <t>插甸镇</t>
  </si>
  <si>
    <t>91.701公里自然村等外公路改扩建</t>
  </si>
  <si>
    <t>⑸</t>
  </si>
  <si>
    <t>白路镇50户以上不搬迁自然村公路</t>
  </si>
  <si>
    <t>白路镇</t>
  </si>
  <si>
    <t>57.011公里自然村等外公路改扩建</t>
  </si>
  <si>
    <t>⑹</t>
  </si>
  <si>
    <t>环州乡50户以上不搬迁自然村公路</t>
  </si>
  <si>
    <t>环州乡</t>
  </si>
  <si>
    <t>9.976公里自然村等外公路改扩建</t>
  </si>
  <si>
    <t>⑺</t>
  </si>
  <si>
    <t>东坡乡50户以上不搬迁自然村公路</t>
  </si>
  <si>
    <t>东坡乡</t>
  </si>
  <si>
    <t>11.504公里自然村等外公路改扩建</t>
  </si>
  <si>
    <t>⑻</t>
  </si>
  <si>
    <t>田心乡50户以上不搬迁自然村公路</t>
  </si>
  <si>
    <t>田心乡</t>
  </si>
  <si>
    <t>63.158公里自然村等外公路改扩建</t>
  </si>
  <si>
    <t>⑼</t>
  </si>
  <si>
    <t>发窝乡50户以上不搬迁自然村公路</t>
  </si>
  <si>
    <t>发窝乡</t>
  </si>
  <si>
    <t>31.547公里自然村等外公路改扩建</t>
  </si>
  <si>
    <t>⑽</t>
  </si>
  <si>
    <t>万德镇50户以上不搬迁自然村公路</t>
  </si>
  <si>
    <t>万德镇</t>
  </si>
  <si>
    <t>42.661公里自然村等外公路改扩建</t>
  </si>
  <si>
    <t>⑾</t>
  </si>
  <si>
    <t>己衣镇50户以上不搬迁自然村公路</t>
  </si>
  <si>
    <t>己衣镇</t>
  </si>
  <si>
    <t>56.776公里自然村等外公路改扩建</t>
  </si>
  <si>
    <t>武定县30-49户以上不搬迁自然村公路</t>
  </si>
  <si>
    <t>2021-2026</t>
  </si>
  <si>
    <t>267.285公里自然村等外公路改扩建</t>
  </si>
  <si>
    <t>狮山镇30-49户以上不搬迁自然村公路</t>
  </si>
  <si>
    <t>26.466公里自然村等外公路改扩建</t>
  </si>
  <si>
    <t>高桥镇30-49户以上不搬迁自然村公路</t>
  </si>
  <si>
    <t>36.602公里自然村等外公路改扩建</t>
  </si>
  <si>
    <t>猫街镇30-49户以上不搬迁自然村公路</t>
  </si>
  <si>
    <t>33.442公里自然村等外公路改扩建</t>
  </si>
  <si>
    <t>插甸镇30-49户以上不搬迁自然村公路</t>
  </si>
  <si>
    <t>12.491公里自然村等外公路改扩建</t>
  </si>
  <si>
    <t>白路镇30-49户以上不搬迁自然村公路</t>
  </si>
  <si>
    <t>15.114公里自然村等外公路改扩建</t>
  </si>
  <si>
    <t>环州乡30-49户以上不搬迁自然村公路</t>
  </si>
  <si>
    <t>9.1公里自然村等外公路改扩建</t>
  </si>
  <si>
    <t>东坡乡30-49户以上不搬迁自然村公路</t>
  </si>
  <si>
    <t>6.274公里自然村等外公路改扩建</t>
  </si>
  <si>
    <t>田心乡30-49户以上不搬迁自然村公路</t>
  </si>
  <si>
    <t>2.847公里自然村等外公路改扩建</t>
  </si>
  <si>
    <t>发窝乡30-49户以上不搬迁自然村公路</t>
  </si>
  <si>
    <t>25.512公里自然村等外公路改扩建</t>
  </si>
  <si>
    <t>万德镇30-49户以上不搬迁自然村公路</t>
  </si>
  <si>
    <t>己衣镇30-49户以上不搬迁自然村公路</t>
  </si>
  <si>
    <t>（十）</t>
  </si>
  <si>
    <t>公路安全生命防护工程</t>
  </si>
  <si>
    <t>武定县农村公路安全生命防护工程</t>
  </si>
  <si>
    <t>增设波形护栏、标志标线、警示墙、边坡处置、减速带</t>
  </si>
  <si>
    <t>（十一）</t>
  </si>
  <si>
    <t>专用公路、旅游线路</t>
  </si>
  <si>
    <t>武定县狮子山旅游环线公路（狮子山停车场-鲍家村）建设项目</t>
  </si>
  <si>
    <t>2028-2030</t>
  </si>
  <si>
    <t>新建路基路面工程12公里</t>
  </si>
  <si>
    <t>插甸镇康照至水城河公路</t>
  </si>
  <si>
    <t>2025-2028</t>
  </si>
  <si>
    <t>改建10公里沥青混凝土路面</t>
  </si>
  <si>
    <t>（十二）</t>
  </si>
  <si>
    <t>客货运站点、停车场</t>
  </si>
  <si>
    <t>武定县货运站建设项目</t>
  </si>
  <si>
    <t>新建县城周边货运站点、禄金工业园区站点共4个站点</t>
  </si>
  <si>
    <t>武定县东坡乡客运站（提升改造）</t>
  </si>
  <si>
    <t>2025-2026</t>
  </si>
  <si>
    <t>场地设施、建筑设施、基本设备的完善和维护</t>
  </si>
  <si>
    <t>武定县猫街镇客运站（提升改造）</t>
  </si>
  <si>
    <t>武定县插甸镇客运站（提升改造）</t>
  </si>
  <si>
    <t>武定县高桥镇客运站（提升改造）</t>
  </si>
  <si>
    <t>禄武客运枢纽站（提升改造）</t>
  </si>
  <si>
    <t>新建一个客运枢纽站</t>
  </si>
  <si>
    <t>武定县禄武客运枢纽站（提升改造）建设项目</t>
  </si>
  <si>
    <t>各乡镇</t>
  </si>
  <si>
    <t>新建一个客运枢纽站。</t>
  </si>
  <si>
    <t>武定县狮山镇公交运营配套设施建设</t>
  </si>
  <si>
    <t>2023-2026</t>
  </si>
  <si>
    <t>建设行政村城乡公交运营点10个</t>
  </si>
  <si>
    <t>（十三）</t>
  </si>
  <si>
    <t>港口、水运和码头</t>
  </si>
  <si>
    <t>金沙江航运武定港</t>
  </si>
  <si>
    <t>码头、防坡堤、防沙堤、港池、航道等基础设施建设工程</t>
  </si>
  <si>
    <t>金沙江航道改造</t>
  </si>
  <si>
    <t>金沙江南岸码头提升改造项目</t>
  </si>
  <si>
    <t>金沙江南岸东坡白马口，己衣新民、五曲沟、热水塘4个码头提升改造</t>
  </si>
  <si>
    <t>（十四）</t>
  </si>
  <si>
    <t>智能交通</t>
  </si>
  <si>
    <t>交通运输智能化监管平台</t>
  </si>
  <si>
    <t>2021-2028</t>
  </si>
  <si>
    <t>安装系统</t>
  </si>
  <si>
    <t>武定县中长期（2026-2035）规划建设项目表</t>
  </si>
  <si>
    <t>综合交通（共27项）</t>
  </si>
  <si>
    <t>民航（1项）</t>
  </si>
  <si>
    <t>2016-2020</t>
  </si>
  <si>
    <t>武定县</t>
  </si>
  <si>
    <t>占地面积5000亩，年旅客吞吐量26万人次，飞行区技术指标为3C级。建设一类通用机场及航空产业园区。</t>
  </si>
  <si>
    <t>武定至禄丰至双柏高速公路建设项目</t>
  </si>
  <si>
    <t>武定禄丰</t>
  </si>
  <si>
    <t>高速公路，路线全长120千米。</t>
  </si>
  <si>
    <t>楚雄州交通开发投资有限公司</t>
  </si>
  <si>
    <t>武会高速建设项目（武定段）</t>
  </si>
  <si>
    <t>2022-2025</t>
  </si>
  <si>
    <t>云南境内60公路，匡算投资90亿元。行车速度100km/h，沥青混凝土路面</t>
  </si>
  <si>
    <t>G5武定县城段改造项目</t>
  </si>
  <si>
    <r>
      <rPr>
        <sz val="6"/>
        <color rgb="FF000000"/>
        <rFont val="宋体"/>
        <family val="3"/>
        <charset val="134"/>
      </rPr>
      <t>京昆高速</t>
    </r>
    <r>
      <rPr>
        <sz val="6"/>
        <color rgb="FF000000"/>
        <rFont val="Calibri"/>
        <family val="2"/>
      </rPr>
      <t>G5</t>
    </r>
    <r>
      <rPr>
        <sz val="6"/>
        <color rgb="FF000000"/>
        <rFont val="宋体"/>
        <family val="3"/>
        <charset val="134"/>
      </rPr>
      <t>武定县城收费站段改造项目位于武定收费站南侧，全长5公里，比原有老路（4.95公里）长50</t>
    </r>
    <r>
      <rPr>
        <sz val="6"/>
        <color rgb="FF000000"/>
        <rFont val="Calibri"/>
        <family val="2"/>
      </rPr>
      <t>m</t>
    </r>
    <r>
      <rPr>
        <sz val="6"/>
        <color rgb="FF000000"/>
        <rFont val="宋体"/>
        <family val="3"/>
        <charset val="134"/>
      </rPr>
      <t>。改造线路起于老鹰地，途径后冲、凤鸣村、麻栗园，止于沙朗，路线设置2座大桥（K</t>
    </r>
    <r>
      <rPr>
        <sz val="6"/>
        <color rgb="FF000000"/>
        <rFont val="Calibri"/>
        <family val="2"/>
      </rPr>
      <t>2+050</t>
    </r>
    <r>
      <rPr>
        <sz val="6"/>
        <color rgb="FF000000"/>
        <rFont val="宋体"/>
        <family val="3"/>
        <charset val="134"/>
      </rPr>
      <t>桥长800m、K</t>
    </r>
    <r>
      <rPr>
        <sz val="6"/>
        <color rgb="FF000000"/>
        <rFont val="Calibri"/>
        <family val="2"/>
      </rPr>
      <t>3+700</t>
    </r>
    <r>
      <rPr>
        <sz val="6"/>
        <color rgb="FF000000"/>
        <rFont val="宋体"/>
        <family val="3"/>
        <charset val="134"/>
      </rPr>
      <t>桥长</t>
    </r>
    <r>
      <rPr>
        <sz val="6"/>
        <color rgb="FF000000"/>
        <rFont val="Calibri"/>
        <family val="2"/>
      </rPr>
      <t>45</t>
    </r>
    <r>
      <rPr>
        <sz val="6"/>
        <color rgb="FF000000"/>
        <rFont val="宋体"/>
        <family val="3"/>
        <charset val="134"/>
      </rPr>
      <t>0m），武定收费站设置在K</t>
    </r>
    <r>
      <rPr>
        <sz val="6"/>
        <color rgb="FF000000"/>
        <rFont val="Calibri"/>
        <family val="2"/>
      </rPr>
      <t>4+800</t>
    </r>
    <r>
      <rPr>
        <sz val="6"/>
        <color rgb="FF000000"/>
        <rFont val="宋体"/>
        <family val="3"/>
        <charset val="134"/>
      </rPr>
      <t>处，采用喇叭立交出入，并与老路</t>
    </r>
    <r>
      <rPr>
        <sz val="6"/>
        <color rgb="FF000000"/>
        <rFont val="Calibri"/>
        <family val="2"/>
      </rPr>
      <t>G5</t>
    </r>
    <r>
      <rPr>
        <sz val="6"/>
        <color rgb="FF000000"/>
        <rFont val="宋体"/>
        <family val="3"/>
        <charset val="134"/>
      </rPr>
      <t>衔接进入武定县城。</t>
    </r>
  </si>
  <si>
    <t>G108武定县境内（马头山至武定木果甸）公路</t>
  </si>
  <si>
    <t>武定县禄劝汤郎—武定己衣—万德—东坡白马口—元谋江边二级公路建设项目</t>
  </si>
  <si>
    <t>二级公路101千米。</t>
  </si>
  <si>
    <t>田心至禄丰交界二级公路建设项目</t>
  </si>
  <si>
    <t>2024-2026</t>
  </si>
  <si>
    <t>禄劝县云龙交界至元谋县交界二级公路建设项目</t>
  </si>
  <si>
    <t>宜阿拉至金沙江二级公路建设项目</t>
  </si>
  <si>
    <t>万德镇、东坡乡、</t>
  </si>
  <si>
    <t>120公里二级公路，沥青混凝土路面</t>
  </si>
  <si>
    <t>狮山镇禄金至元谋县老者格二级公路</t>
  </si>
  <si>
    <t>2025-2027</t>
  </si>
  <si>
    <t>环州至元谋县老者格二级公路</t>
  </si>
  <si>
    <t>2024-2027</t>
  </si>
  <si>
    <t>长己二级公路建设项目（新民码头一己衣一插甸一狮山一九厂）</t>
  </si>
  <si>
    <t>改建134公里二级公路，沥青混凝土路面</t>
  </si>
  <si>
    <t>武定县山品-东坡公路</t>
  </si>
  <si>
    <t>52公里三级公路改建沥青混凝土路面。</t>
  </si>
  <si>
    <t>相关乡镇</t>
  </si>
  <si>
    <t>200公里四级公路改扩建</t>
  </si>
  <si>
    <t>武定县自然村公路工程</t>
  </si>
  <si>
    <t>1200公里自然村等外公路改扩建</t>
  </si>
  <si>
    <t>新建路基路面工程12千米。</t>
  </si>
  <si>
    <t>新建县城周边货运站点、禄金工业园区站点。</t>
  </si>
  <si>
    <t>武定县己衣客运物流集散中心</t>
  </si>
  <si>
    <t>新建一个客运物流集散中心</t>
  </si>
  <si>
    <t>武定县城乡公交运营配套设施建设</t>
  </si>
  <si>
    <t>武定县相关乡镇</t>
  </si>
  <si>
    <t>己衣镇、东坡乡</t>
  </si>
  <si>
    <t>金沙江南岸码头</t>
  </si>
  <si>
    <t>新建5个码头</t>
  </si>
  <si>
    <t>前期工作</t>
  </si>
  <si>
    <t>项目内容</t>
  </si>
  <si>
    <t>投资（万元）</t>
  </si>
  <si>
    <t>十四五</t>
  </si>
  <si>
    <t>中长期</t>
  </si>
  <si>
    <t>合计</t>
  </si>
  <si>
    <t>武定县“十四五”综合交通及中长期发展规划（2021-2035年）建设项目表</t>
    <phoneticPr fontId="6" type="noConversion"/>
  </si>
  <si>
    <t>十四五投资(万元)</t>
    <phoneticPr fontId="6" type="noConversion"/>
  </si>
  <si>
    <t>中长期投资(万元)</t>
    <phoneticPr fontId="6" type="noConversion"/>
  </si>
  <si>
    <t>武定县“十四五”综合交通及中长期发展规划（2021-2025年）建设项目表</t>
    <phoneticPr fontId="6" type="noConversion"/>
  </si>
  <si>
    <t>前期工作</t>
    <phoneticPr fontId="24" type="noConversion"/>
  </si>
  <si>
    <t>项目总投资(万元)</t>
    <phoneticPr fontId="24" type="noConversion"/>
  </si>
  <si>
    <t>全长135公里，武定境内里程78公里</t>
    <phoneticPr fontId="6" type="noConversion"/>
  </si>
  <si>
    <t>高速公路，全长120公里,武定段24公里</t>
  </si>
  <si>
    <t>武定县狮山镇公交运营配套设施建设</t>
    <phoneticPr fontId="24" type="noConversion"/>
  </si>
  <si>
    <t>武定—寻甸城际铁路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</si>
</sst>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u/>
      <sz val="20"/>
      <name val="方正小标宋简体"/>
      <charset val="134"/>
    </font>
    <font>
      <sz val="20"/>
      <name val="方正小标宋简体"/>
      <charset val="134"/>
    </font>
    <font>
      <sz val="12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rgb="FFFFC000"/>
      <name val="宋体"/>
      <family val="3"/>
      <charset val="134"/>
      <scheme val="minor"/>
    </font>
    <font>
      <u/>
      <sz val="20"/>
      <color theme="1"/>
      <name val="方正小标宋简体"/>
      <charset val="134"/>
    </font>
    <font>
      <sz val="20"/>
      <color theme="1"/>
      <name val="方正小标宋简体"/>
      <charset val="134"/>
    </font>
    <font>
      <sz val="12"/>
      <color theme="1"/>
      <name val="黑体"/>
      <family val="3"/>
      <charset val="134"/>
    </font>
    <font>
      <b/>
      <sz val="8"/>
      <color rgb="FF000000"/>
      <name val="宋体"/>
      <family val="3"/>
      <charset val="134"/>
    </font>
    <font>
      <sz val="8"/>
      <color rgb="FF000000"/>
      <name val="宋体"/>
      <family val="3"/>
      <charset val="134"/>
    </font>
    <font>
      <sz val="6"/>
      <color rgb="FF000000"/>
      <name val="宋体"/>
      <family val="3"/>
      <charset val="134"/>
    </font>
    <font>
      <sz val="8"/>
      <name val="宋体"/>
      <family val="3"/>
      <charset val="134"/>
      <scheme val="minor"/>
    </font>
    <font>
      <b/>
      <sz val="8"/>
      <color rgb="FF00B050"/>
      <name val="宋体"/>
      <family val="3"/>
      <charset val="134"/>
    </font>
    <font>
      <sz val="8"/>
      <color rgb="FF00B050"/>
      <name val="宋体"/>
      <family val="3"/>
      <charset val="134"/>
    </font>
    <font>
      <sz val="9"/>
      <color rgb="FFFFC000"/>
      <name val="宋体"/>
      <family val="3"/>
      <charset val="134"/>
      <scheme val="minor"/>
    </font>
    <font>
      <sz val="12"/>
      <name val="Times New Roman"/>
      <family val="1"/>
    </font>
    <font>
      <sz val="11"/>
      <color indexed="8"/>
      <name val="宋体"/>
      <family val="3"/>
      <charset val="134"/>
    </font>
    <font>
      <sz val="6"/>
      <color rgb="FF000000"/>
      <name val="Calibri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1">
    <xf numFmtId="0" fontId="0" fillId="0" borderId="0">
      <alignment vertical="center"/>
    </xf>
    <xf numFmtId="0" fontId="1" fillId="0" borderId="0"/>
    <xf numFmtId="0" fontId="1" fillId="0" borderId="0"/>
    <xf numFmtId="0" fontId="20" fillId="0" borderId="0"/>
    <xf numFmtId="0" fontId="21" fillId="0" borderId="0">
      <alignment vertical="center"/>
    </xf>
    <xf numFmtId="0" fontId="1" fillId="0" borderId="0"/>
    <xf numFmtId="0" fontId="23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0" fillId="0" borderId="0"/>
  </cellStyleXfs>
  <cellXfs count="1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ill="1" applyBorder="1">
      <alignment vertical="center"/>
    </xf>
    <xf numFmtId="1" fontId="0" fillId="0" borderId="1" xfId="0" applyNumberFormat="1" applyFill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176" fontId="7" fillId="3" borderId="4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6" fillId="0" borderId="1" xfId="20" applyFont="1" applyFill="1" applyBorder="1" applyAlignment="1" applyProtection="1">
      <alignment horizontal="left" vertical="center" wrapText="1" readingOrder="1"/>
    </xf>
    <xf numFmtId="0" fontId="6" fillId="0" borderId="1" xfId="20" applyFont="1" applyFill="1" applyBorder="1" applyAlignment="1" applyProtection="1">
      <alignment horizontal="center" vertical="center" wrapText="1" readingOrder="1"/>
    </xf>
    <xf numFmtId="0" fontId="8" fillId="0" borderId="1" xfId="20" applyFont="1" applyFill="1" applyBorder="1" applyAlignment="1" applyProtection="1">
      <alignment horizontal="center" vertical="center" wrapText="1" readingOrder="1"/>
    </xf>
    <xf numFmtId="176" fontId="6" fillId="0" borderId="1" xfId="20" applyNumberFormat="1" applyFont="1" applyFill="1" applyBorder="1" applyAlignment="1" applyProtection="1">
      <alignment horizontal="center" vertical="center" wrapText="1" readingOrder="1"/>
    </xf>
    <xf numFmtId="0" fontId="6" fillId="0" borderId="1" xfId="20" applyNumberFormat="1" applyFont="1" applyFill="1" applyBorder="1" applyAlignment="1" applyProtection="1">
      <alignment horizontal="center" vertical="center" wrapText="1" readingOrder="1"/>
    </xf>
    <xf numFmtId="0" fontId="6" fillId="0" borderId="5" xfId="0" applyFont="1" applyFill="1" applyBorder="1" applyAlignment="1">
      <alignment vertical="center" wrapText="1"/>
    </xf>
    <xf numFmtId="49" fontId="7" fillId="3" borderId="5" xfId="0" applyNumberFormat="1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49" fontId="6" fillId="0" borderId="5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7" fillId="3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49" fontId="6" fillId="0" borderId="4" xfId="0" applyNumberFormat="1" applyFont="1" applyBorder="1" applyAlignment="1">
      <alignment vertical="center" wrapText="1"/>
    </xf>
    <xf numFmtId="0" fontId="6" fillId="0" borderId="4" xfId="0" applyNumberFormat="1" applyFont="1" applyFill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6" fillId="3" borderId="1" xfId="20" applyNumberFormat="1" applyFont="1" applyFill="1" applyBorder="1" applyAlignment="1" applyProtection="1">
      <alignment horizontal="center" vertical="center" wrapText="1" readingOrder="1"/>
    </xf>
    <xf numFmtId="0" fontId="6" fillId="3" borderId="1" xfId="20" applyFont="1" applyFill="1" applyBorder="1" applyAlignment="1" applyProtection="1">
      <alignment horizontal="center" vertical="center" wrapText="1" readingOrder="1"/>
    </xf>
    <xf numFmtId="0" fontId="6" fillId="3" borderId="1" xfId="20" applyNumberFormat="1" applyFont="1" applyFill="1" applyBorder="1" applyAlignment="1" applyProtection="1">
      <alignment horizontal="left" vertical="center" wrapText="1" readingOrder="1"/>
    </xf>
    <xf numFmtId="0" fontId="7" fillId="3" borderId="1" xfId="20" applyNumberFormat="1" applyFont="1" applyFill="1" applyBorder="1" applyAlignment="1" applyProtection="1">
      <alignment horizontal="center" vertical="center" wrapText="1" readingOrder="1"/>
    </xf>
    <xf numFmtId="0" fontId="6" fillId="0" borderId="6" xfId="0" applyFont="1" applyFill="1" applyBorder="1" applyAlignment="1">
      <alignment vertical="center" wrapText="1"/>
    </xf>
    <xf numFmtId="0" fontId="6" fillId="0" borderId="1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13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176" fontId="13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5" fillId="0" borderId="7" xfId="0" applyFont="1" applyBorder="1" applyAlignment="1">
      <alignment wrapText="1"/>
    </xf>
    <xf numFmtId="0" fontId="15" fillId="0" borderId="0" xfId="0" applyFont="1" applyAlignment="1">
      <alignment wrapText="1"/>
    </xf>
    <xf numFmtId="0" fontId="14" fillId="2" borderId="4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49" fontId="13" fillId="0" borderId="5" xfId="0" applyNumberFormat="1" applyFont="1" applyBorder="1" applyAlignment="1">
      <alignment vertical="center" wrapText="1"/>
    </xf>
    <xf numFmtId="49" fontId="14" fillId="0" borderId="5" xfId="0" applyNumberFormat="1" applyFont="1" applyBorder="1" applyAlignment="1">
      <alignment vertical="center" wrapText="1"/>
    </xf>
    <xf numFmtId="49" fontId="14" fillId="0" borderId="4" xfId="0" applyNumberFormat="1" applyFont="1" applyBorder="1" applyAlignment="1">
      <alignment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16" fillId="0" borderId="1" xfId="20" applyFont="1" applyFill="1" applyBorder="1" applyAlignment="1" applyProtection="1">
      <alignment horizontal="center" vertical="center" wrapText="1" readingOrder="1"/>
    </xf>
    <xf numFmtId="0" fontId="16" fillId="0" borderId="1" xfId="20" applyNumberFormat="1" applyFont="1" applyFill="1" applyBorder="1" applyAlignment="1" applyProtection="1">
      <alignment horizontal="left" vertical="center" wrapText="1" readingOrder="1"/>
    </xf>
    <xf numFmtId="0" fontId="16" fillId="0" borderId="1" xfId="20" applyNumberFormat="1" applyFont="1" applyFill="1" applyBorder="1" applyAlignment="1" applyProtection="1">
      <alignment horizontal="center" vertical="center" wrapText="1" readingOrder="1"/>
    </xf>
    <xf numFmtId="176" fontId="17" fillId="0" borderId="4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76" fontId="7" fillId="4" borderId="4" xfId="0" applyNumberFormat="1" applyFont="1" applyFill="1" applyBorder="1" applyAlignment="1">
      <alignment horizontal="center" vertical="center" wrapText="1"/>
    </xf>
    <xf numFmtId="1" fontId="7" fillId="4" borderId="4" xfId="0" applyNumberFormat="1" applyFont="1" applyFill="1" applyBorder="1" applyAlignment="1">
      <alignment horizontal="center" vertical="center" wrapText="1"/>
    </xf>
    <xf numFmtId="0" fontId="7" fillId="4" borderId="1" xfId="20" applyNumberFormat="1" applyFont="1" applyFill="1" applyBorder="1" applyAlignment="1" applyProtection="1">
      <alignment horizontal="center" vertical="center" wrapText="1" readingOrder="1"/>
    </xf>
  </cellXfs>
  <cellStyles count="21">
    <cellStyle name="_ET_STYLE_NoName_00_" xfId="3" xr:uid="{00000000-0005-0000-0000-000013000000}"/>
    <cellStyle name="e鯪9Y_x000b_" xfId="9" xr:uid="{00000000-0005-0000-0000-000039000000}"/>
    <cellStyle name="e鯪9Y_x000b_ 2 2" xfId="10" xr:uid="{00000000-0005-0000-0000-00003A000000}"/>
    <cellStyle name="e鯪9Y_x000b_ 3" xfId="1" xr:uid="{00000000-0005-0000-0000-00000B000000}"/>
    <cellStyle name="常规" xfId="0" builtinId="0"/>
    <cellStyle name="常规 10" xfId="7" xr:uid="{00000000-0005-0000-0000-000035000000}"/>
    <cellStyle name="常规 10 2" xfId="8" xr:uid="{00000000-0005-0000-0000-000037000000}"/>
    <cellStyle name="常规 11 2" xfId="11" xr:uid="{00000000-0005-0000-0000-00003B000000}"/>
    <cellStyle name="常规 12 2" xfId="12" xr:uid="{00000000-0005-0000-0000-00003C000000}"/>
    <cellStyle name="常规 2" xfId="13" xr:uid="{00000000-0005-0000-0000-00003D000000}"/>
    <cellStyle name="常规 2 17" xfId="14" xr:uid="{00000000-0005-0000-0000-00003E000000}"/>
    <cellStyle name="常规 2 2" xfId="6" xr:uid="{00000000-0005-0000-0000-000031000000}"/>
    <cellStyle name="常规 2 2 12" xfId="5" xr:uid="{00000000-0005-0000-0000-000024000000}"/>
    <cellStyle name="常规 2 4" xfId="15" xr:uid="{00000000-0005-0000-0000-00003F000000}"/>
    <cellStyle name="常规 27" xfId="4" xr:uid="{00000000-0005-0000-0000-000022000000}"/>
    <cellStyle name="常规 3" xfId="16" xr:uid="{00000000-0005-0000-0000-000040000000}"/>
    <cellStyle name="常规 4" xfId="17" xr:uid="{00000000-0005-0000-0000-000041000000}"/>
    <cellStyle name="常规 4 3 3" xfId="18" xr:uid="{00000000-0005-0000-0000-000042000000}"/>
    <cellStyle name="常规 5" xfId="19" xr:uid="{00000000-0005-0000-0000-000043000000}"/>
    <cellStyle name="常规 6" xfId="2" xr:uid="{00000000-0005-0000-0000-00000F000000}"/>
    <cellStyle name="常规_Sheet1" xfId="20" xr:uid="{00000000-0005-0000-0000-000044000000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3"/>
  <sheetViews>
    <sheetView tabSelected="1" zoomScaleNormal="100" zoomScaleSheetLayoutView="100" workbookViewId="0">
      <pane ySplit="3" topLeftCell="A4" activePane="bottomLeft" state="frozen"/>
      <selection pane="bottomLeft" activeCell="P7" sqref="P7"/>
    </sheetView>
  </sheetViews>
  <sheetFormatPr defaultColWidth="9" defaultRowHeight="13.5"/>
  <cols>
    <col min="1" max="1" width="4.5" style="10" customWidth="1"/>
    <col min="2" max="2" width="25.5" style="11" customWidth="1"/>
    <col min="3" max="3" width="6.375" style="12" customWidth="1"/>
    <col min="4" max="4" width="9" style="12"/>
    <col min="5" max="5" width="8.25" style="10" customWidth="1"/>
    <col min="6" max="6" width="26.25" style="12" customWidth="1"/>
    <col min="7" max="7" width="8.5" style="11" customWidth="1"/>
    <col min="8" max="8" width="8.75" style="11" customWidth="1"/>
    <col min="9" max="9" width="8.625" style="12" customWidth="1"/>
    <col min="10" max="10" width="8.375" style="12" customWidth="1"/>
    <col min="11" max="11" width="8.5" style="12" customWidth="1"/>
    <col min="12" max="12" width="5.875" style="12" customWidth="1"/>
    <col min="13" max="13" width="6.25" style="12" customWidth="1"/>
    <col min="14" max="14" width="8.375" style="12" customWidth="1"/>
    <col min="15" max="15" width="7.875" style="12" customWidth="1"/>
    <col min="16" max="16384" width="9" style="12"/>
  </cols>
  <sheetData>
    <row r="1" spans="1:15" ht="38.1" customHeight="1">
      <c r="A1" s="101" t="s">
        <v>286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ht="21.95" customHeight="1">
      <c r="A2" s="103" t="s">
        <v>0</v>
      </c>
      <c r="B2" s="104" t="s">
        <v>1</v>
      </c>
      <c r="C2" s="105" t="s">
        <v>2</v>
      </c>
      <c r="D2" s="105" t="s">
        <v>3</v>
      </c>
      <c r="E2" s="103" t="s">
        <v>4</v>
      </c>
      <c r="F2" s="103" t="s">
        <v>5</v>
      </c>
      <c r="G2" s="106" t="s">
        <v>287</v>
      </c>
      <c r="H2" s="106" t="s">
        <v>288</v>
      </c>
      <c r="I2" s="105" t="s">
        <v>6</v>
      </c>
      <c r="J2" s="103" t="s">
        <v>7</v>
      </c>
      <c r="K2" s="103"/>
      <c r="L2" s="103"/>
      <c r="M2" s="103"/>
      <c r="N2" s="103" t="s">
        <v>8</v>
      </c>
      <c r="O2" s="103" t="s">
        <v>9</v>
      </c>
    </row>
    <row r="3" spans="1:15" ht="18.95" customHeight="1">
      <c r="A3" s="103"/>
      <c r="B3" s="104"/>
      <c r="C3" s="103"/>
      <c r="D3" s="103"/>
      <c r="E3" s="103"/>
      <c r="F3" s="103"/>
      <c r="G3" s="107"/>
      <c r="H3" s="107"/>
      <c r="I3" s="103"/>
      <c r="J3" s="13" t="s">
        <v>10</v>
      </c>
      <c r="K3" s="13" t="s">
        <v>11</v>
      </c>
      <c r="L3" s="13" t="s">
        <v>12</v>
      </c>
      <c r="M3" s="13" t="s">
        <v>13</v>
      </c>
      <c r="N3" s="103"/>
      <c r="O3" s="103"/>
    </row>
    <row r="4" spans="1:15" ht="24" customHeight="1">
      <c r="A4" s="14" t="s">
        <v>14</v>
      </c>
      <c r="B4" s="15" t="s">
        <v>15</v>
      </c>
      <c r="C4" s="16"/>
      <c r="D4" s="16"/>
      <c r="E4" s="16"/>
      <c r="F4" s="17"/>
      <c r="G4" s="19">
        <f t="shared" ref="G4:M4" si="0">G5+G7+G13+G18+G20+G22+G28+G37+G39+G64+G66+G69+G78+G82</f>
        <v>1680698</v>
      </c>
      <c r="H4" s="19">
        <f>I4-G4</f>
        <v>16760480</v>
      </c>
      <c r="I4" s="19">
        <f t="shared" si="0"/>
        <v>18441178</v>
      </c>
      <c r="J4" s="19">
        <f t="shared" si="0"/>
        <v>8223978</v>
      </c>
      <c r="K4" s="19">
        <f t="shared" si="0"/>
        <v>10192200</v>
      </c>
      <c r="L4" s="50">
        <f t="shared" si="0"/>
        <v>15000</v>
      </c>
      <c r="M4" s="50">
        <f t="shared" si="0"/>
        <v>10000</v>
      </c>
      <c r="N4" s="51"/>
      <c r="O4" s="51"/>
    </row>
    <row r="5" spans="1:15" ht="24" customHeight="1">
      <c r="A5" s="20" t="s">
        <v>16</v>
      </c>
      <c r="B5" s="21" t="s">
        <v>17</v>
      </c>
      <c r="C5" s="22"/>
      <c r="D5" s="22"/>
      <c r="E5" s="22"/>
      <c r="F5" s="23"/>
      <c r="G5" s="112">
        <f>SUM(G6)</f>
        <v>30000</v>
      </c>
      <c r="H5" s="113">
        <f t="shared" ref="H5:H68" si="1">I5-G5</f>
        <v>170000</v>
      </c>
      <c r="I5" s="22">
        <f t="shared" ref="I5:M5" si="2">SUM(I6)</f>
        <v>200000</v>
      </c>
      <c r="J5" s="22">
        <f t="shared" si="2"/>
        <v>5000</v>
      </c>
      <c r="K5" s="22">
        <f t="shared" si="2"/>
        <v>190000</v>
      </c>
      <c r="L5" s="22">
        <f t="shared" si="2"/>
        <v>5000</v>
      </c>
      <c r="M5" s="22">
        <f t="shared" si="2"/>
        <v>0</v>
      </c>
      <c r="N5" s="38"/>
      <c r="O5" s="38"/>
    </row>
    <row r="6" spans="1:15" ht="41.25" customHeight="1">
      <c r="A6" s="14">
        <v>1</v>
      </c>
      <c r="B6" s="24" t="s">
        <v>18</v>
      </c>
      <c r="C6" s="25" t="s">
        <v>19</v>
      </c>
      <c r="D6" s="26" t="s">
        <v>20</v>
      </c>
      <c r="E6" s="25" t="s">
        <v>21</v>
      </c>
      <c r="F6" s="27" t="s">
        <v>22</v>
      </c>
      <c r="G6" s="25">
        <v>30000</v>
      </c>
      <c r="H6" s="30">
        <f t="shared" si="1"/>
        <v>170000</v>
      </c>
      <c r="I6" s="25">
        <f>SUM(J6:M6)</f>
        <v>200000</v>
      </c>
      <c r="J6" s="25">
        <v>5000</v>
      </c>
      <c r="K6" s="25">
        <v>190000</v>
      </c>
      <c r="L6" s="44">
        <v>5000</v>
      </c>
      <c r="M6" s="44"/>
      <c r="N6" s="44" t="s">
        <v>23</v>
      </c>
      <c r="O6" s="44"/>
    </row>
    <row r="7" spans="1:15" ht="24" customHeight="1">
      <c r="A7" s="20" t="s">
        <v>24</v>
      </c>
      <c r="B7" s="21" t="s">
        <v>25</v>
      </c>
      <c r="C7" s="22"/>
      <c r="D7" s="28"/>
      <c r="E7" s="22"/>
      <c r="F7" s="23"/>
      <c r="G7" s="112">
        <f>SUM(G8:G12)</f>
        <v>845000</v>
      </c>
      <c r="H7" s="113">
        <f t="shared" si="1"/>
        <v>8045000</v>
      </c>
      <c r="I7" s="29">
        <f t="shared" ref="I7:M7" si="3">SUM(I8:I12)</f>
        <v>8890000</v>
      </c>
      <c r="J7" s="29">
        <f t="shared" si="3"/>
        <v>2287000</v>
      </c>
      <c r="K7" s="29">
        <f t="shared" si="3"/>
        <v>6603000</v>
      </c>
      <c r="L7" s="29">
        <f t="shared" si="3"/>
        <v>0</v>
      </c>
      <c r="M7" s="29">
        <f t="shared" si="3"/>
        <v>0</v>
      </c>
      <c r="N7" s="22"/>
      <c r="O7" s="22"/>
    </row>
    <row r="8" spans="1:15" ht="43.5" customHeight="1">
      <c r="A8" s="14">
        <v>2</v>
      </c>
      <c r="B8" s="24" t="s">
        <v>26</v>
      </c>
      <c r="C8" s="25" t="s">
        <v>19</v>
      </c>
      <c r="D8" s="26" t="s">
        <v>20</v>
      </c>
      <c r="E8" s="25" t="s">
        <v>27</v>
      </c>
      <c r="F8" s="27" t="s">
        <v>28</v>
      </c>
      <c r="G8" s="25">
        <v>435000</v>
      </c>
      <c r="H8" s="30">
        <f t="shared" si="1"/>
        <v>2185000</v>
      </c>
      <c r="I8" s="25">
        <f>SUM(J8:M8)</f>
        <v>2620000</v>
      </c>
      <c r="J8" s="30">
        <v>520000</v>
      </c>
      <c r="K8" s="25">
        <v>2100000</v>
      </c>
      <c r="L8" s="44"/>
      <c r="M8" s="44"/>
      <c r="N8" s="44" t="s">
        <v>29</v>
      </c>
      <c r="O8" s="44"/>
    </row>
    <row r="9" spans="1:15" ht="41.25" customHeight="1">
      <c r="A9" s="14">
        <v>3</v>
      </c>
      <c r="B9" s="31" t="s">
        <v>295</v>
      </c>
      <c r="C9" s="25" t="s">
        <v>19</v>
      </c>
      <c r="D9" s="91" t="s">
        <v>30</v>
      </c>
      <c r="E9" s="32" t="s">
        <v>31</v>
      </c>
      <c r="F9" s="92" t="s">
        <v>32</v>
      </c>
      <c r="G9" s="93"/>
      <c r="H9" s="30">
        <f t="shared" si="1"/>
        <v>1410000</v>
      </c>
      <c r="I9" s="25">
        <f t="shared" ref="I9:I38" si="4">SUM(J9:M9)</f>
        <v>1410000</v>
      </c>
      <c r="J9" s="94">
        <v>409000</v>
      </c>
      <c r="K9" s="93">
        <v>1001000</v>
      </c>
      <c r="L9" s="100"/>
      <c r="M9" s="100"/>
      <c r="N9" s="44" t="s">
        <v>29</v>
      </c>
      <c r="O9" s="44"/>
    </row>
    <row r="10" spans="1:15" ht="38.25" customHeight="1">
      <c r="A10" s="14">
        <v>4</v>
      </c>
      <c r="B10" s="31" t="s">
        <v>33</v>
      </c>
      <c r="C10" s="32" t="s">
        <v>19</v>
      </c>
      <c r="D10" s="33" t="s">
        <v>34</v>
      </c>
      <c r="E10" s="32" t="s">
        <v>35</v>
      </c>
      <c r="F10" s="31" t="s">
        <v>36</v>
      </c>
      <c r="G10" s="32">
        <v>390000</v>
      </c>
      <c r="H10" s="30">
        <f t="shared" si="1"/>
        <v>1510000</v>
      </c>
      <c r="I10" s="25">
        <f t="shared" si="4"/>
        <v>1900000</v>
      </c>
      <c r="J10" s="34">
        <v>390000</v>
      </c>
      <c r="K10" s="32">
        <v>1510000</v>
      </c>
      <c r="L10" s="32"/>
      <c r="M10" s="32"/>
      <c r="N10" s="44" t="s">
        <v>29</v>
      </c>
      <c r="O10" s="44"/>
    </row>
    <row r="11" spans="1:15" ht="42.95" customHeight="1">
      <c r="A11" s="14">
        <v>5</v>
      </c>
      <c r="B11" s="31" t="s">
        <v>37</v>
      </c>
      <c r="C11" s="32" t="s">
        <v>19</v>
      </c>
      <c r="D11" s="33" t="s">
        <v>38</v>
      </c>
      <c r="E11" s="32" t="s">
        <v>39</v>
      </c>
      <c r="F11" s="31" t="s">
        <v>40</v>
      </c>
      <c r="G11" s="32"/>
      <c r="H11" s="30">
        <f t="shared" si="1"/>
        <v>2360000</v>
      </c>
      <c r="I11" s="25">
        <f t="shared" si="4"/>
        <v>2360000</v>
      </c>
      <c r="J11" s="34">
        <v>848000</v>
      </c>
      <c r="K11" s="32">
        <v>1512000</v>
      </c>
      <c r="L11" s="32"/>
      <c r="M11" s="32"/>
      <c r="N11" s="44" t="s">
        <v>29</v>
      </c>
      <c r="O11" s="44"/>
    </row>
    <row r="12" spans="1:15" ht="42" customHeight="1">
      <c r="A12" s="14">
        <v>6</v>
      </c>
      <c r="B12" s="31" t="s">
        <v>41</v>
      </c>
      <c r="C12" s="32" t="s">
        <v>19</v>
      </c>
      <c r="D12" s="33" t="s">
        <v>42</v>
      </c>
      <c r="E12" s="32" t="s">
        <v>43</v>
      </c>
      <c r="F12" s="31" t="s">
        <v>44</v>
      </c>
      <c r="G12" s="32">
        <v>20000</v>
      </c>
      <c r="H12" s="30">
        <f t="shared" si="1"/>
        <v>580000</v>
      </c>
      <c r="I12" s="25">
        <f t="shared" si="4"/>
        <v>600000</v>
      </c>
      <c r="J12" s="35">
        <v>120000</v>
      </c>
      <c r="K12" s="35">
        <v>480000</v>
      </c>
      <c r="L12" s="35"/>
      <c r="M12" s="35"/>
      <c r="N12" s="44" t="s">
        <v>29</v>
      </c>
      <c r="O12" s="44"/>
    </row>
    <row r="13" spans="1:15" ht="24" customHeight="1">
      <c r="A13" s="20" t="s">
        <v>45</v>
      </c>
      <c r="B13" s="21" t="s">
        <v>46</v>
      </c>
      <c r="C13" s="22"/>
      <c r="D13" s="28"/>
      <c r="E13" s="22"/>
      <c r="F13" s="23"/>
      <c r="G13" s="112">
        <f>SUM(G14:G17)</f>
        <v>480000</v>
      </c>
      <c r="H13" s="113">
        <f t="shared" si="1"/>
        <v>3883000</v>
      </c>
      <c r="I13" s="29">
        <f t="shared" ref="I13:M13" si="5">SUM(I14:I17)</f>
        <v>4363000</v>
      </c>
      <c r="J13" s="29">
        <f t="shared" si="5"/>
        <v>1086600</v>
      </c>
      <c r="K13" s="29">
        <f t="shared" si="5"/>
        <v>3276400</v>
      </c>
      <c r="L13" s="29">
        <f t="shared" si="5"/>
        <v>0</v>
      </c>
      <c r="M13" s="29">
        <f t="shared" si="5"/>
        <v>0</v>
      </c>
      <c r="N13" s="22"/>
      <c r="O13" s="22"/>
    </row>
    <row r="14" spans="1:15" ht="26.1" customHeight="1">
      <c r="A14" s="14">
        <v>7</v>
      </c>
      <c r="B14" s="24" t="s">
        <v>47</v>
      </c>
      <c r="C14" s="25" t="s">
        <v>19</v>
      </c>
      <c r="D14" s="26" t="s">
        <v>48</v>
      </c>
      <c r="E14" s="25" t="s">
        <v>21</v>
      </c>
      <c r="F14" s="27" t="s">
        <v>292</v>
      </c>
      <c r="G14" s="27"/>
      <c r="H14" s="30">
        <f t="shared" si="1"/>
        <v>1460000</v>
      </c>
      <c r="I14" s="25">
        <f t="shared" si="4"/>
        <v>1460000</v>
      </c>
      <c r="J14" s="25">
        <v>438000</v>
      </c>
      <c r="K14" s="25">
        <v>1022000</v>
      </c>
      <c r="L14" s="44"/>
      <c r="M14" s="44"/>
      <c r="N14" s="44" t="s">
        <v>49</v>
      </c>
      <c r="O14" s="51"/>
    </row>
    <row r="15" spans="1:15" ht="26.1" customHeight="1">
      <c r="A15" s="14">
        <v>8</v>
      </c>
      <c r="B15" s="24" t="s">
        <v>50</v>
      </c>
      <c r="C15" s="25" t="s">
        <v>19</v>
      </c>
      <c r="D15" s="26" t="s">
        <v>51</v>
      </c>
      <c r="E15" s="25" t="s">
        <v>21</v>
      </c>
      <c r="F15" s="27" t="s">
        <v>293</v>
      </c>
      <c r="G15" s="25">
        <v>480000</v>
      </c>
      <c r="H15" s="30">
        <f t="shared" si="1"/>
        <v>1920000</v>
      </c>
      <c r="I15" s="25">
        <f t="shared" si="4"/>
        <v>2400000</v>
      </c>
      <c r="J15" s="25">
        <v>480000</v>
      </c>
      <c r="K15" s="25">
        <v>1920000</v>
      </c>
      <c r="L15" s="44"/>
      <c r="M15" s="44"/>
      <c r="N15" s="44" t="s">
        <v>49</v>
      </c>
      <c r="O15" s="44"/>
    </row>
    <row r="16" spans="1:15" ht="78.75" customHeight="1">
      <c r="A16" s="14">
        <v>9</v>
      </c>
      <c r="B16" s="24" t="s">
        <v>52</v>
      </c>
      <c r="C16" s="25" t="s">
        <v>19</v>
      </c>
      <c r="D16" s="26" t="s">
        <v>53</v>
      </c>
      <c r="E16" s="25" t="s">
        <v>21</v>
      </c>
      <c r="F16" s="27" t="s">
        <v>54</v>
      </c>
      <c r="G16" s="27"/>
      <c r="H16" s="30">
        <f t="shared" si="1"/>
        <v>85000</v>
      </c>
      <c r="I16" s="25">
        <f t="shared" si="4"/>
        <v>85000</v>
      </c>
      <c r="J16" s="25">
        <v>85000</v>
      </c>
      <c r="K16" s="25"/>
      <c r="L16" s="44"/>
      <c r="M16" s="44"/>
      <c r="N16" s="44" t="s">
        <v>49</v>
      </c>
      <c r="O16" s="44"/>
    </row>
    <row r="17" spans="1:15" ht="26.1" customHeight="1">
      <c r="A17" s="14">
        <v>10</v>
      </c>
      <c r="B17" s="24" t="s">
        <v>55</v>
      </c>
      <c r="C17" s="25" t="s">
        <v>19</v>
      </c>
      <c r="D17" s="26" t="s">
        <v>56</v>
      </c>
      <c r="E17" s="25" t="s">
        <v>21</v>
      </c>
      <c r="F17" s="95" t="s">
        <v>57</v>
      </c>
      <c r="G17" s="27"/>
      <c r="H17" s="30">
        <f t="shared" si="1"/>
        <v>418000</v>
      </c>
      <c r="I17" s="25">
        <f t="shared" si="4"/>
        <v>418000</v>
      </c>
      <c r="J17" s="25">
        <v>83600</v>
      </c>
      <c r="K17" s="25">
        <v>334400</v>
      </c>
      <c r="L17" s="44"/>
      <c r="M17" s="44"/>
      <c r="N17" s="44" t="s">
        <v>58</v>
      </c>
      <c r="O17" s="44"/>
    </row>
    <row r="18" spans="1:15" ht="24" customHeight="1">
      <c r="A18" s="20" t="s">
        <v>59</v>
      </c>
      <c r="B18" s="21" t="s">
        <v>60</v>
      </c>
      <c r="C18" s="38"/>
      <c r="D18" s="96"/>
      <c r="E18" s="97"/>
      <c r="F18" s="98"/>
      <c r="G18" s="112">
        <f>SUM(G19)</f>
        <v>500</v>
      </c>
      <c r="H18" s="113">
        <f t="shared" si="1"/>
        <v>443500</v>
      </c>
      <c r="I18" s="22">
        <f t="shared" ref="I18:M18" si="6">SUM(I19)</f>
        <v>444000</v>
      </c>
      <c r="J18" s="22">
        <f t="shared" si="6"/>
        <v>444000</v>
      </c>
      <c r="K18" s="22">
        <f t="shared" si="6"/>
        <v>0</v>
      </c>
      <c r="L18" s="22">
        <f t="shared" si="6"/>
        <v>0</v>
      </c>
      <c r="M18" s="22">
        <f t="shared" si="6"/>
        <v>0</v>
      </c>
      <c r="N18" s="38"/>
      <c r="O18" s="38"/>
    </row>
    <row r="19" spans="1:15" ht="30.75" customHeight="1">
      <c r="A19" s="14">
        <v>11</v>
      </c>
      <c r="B19" s="24" t="s">
        <v>61</v>
      </c>
      <c r="C19" s="25" t="s">
        <v>62</v>
      </c>
      <c r="D19" s="26" t="s">
        <v>56</v>
      </c>
      <c r="E19" s="25" t="s">
        <v>21</v>
      </c>
      <c r="F19" s="99" t="s">
        <v>63</v>
      </c>
      <c r="G19" s="25">
        <v>500</v>
      </c>
      <c r="H19" s="30">
        <f t="shared" si="1"/>
        <v>443500</v>
      </c>
      <c r="I19" s="25">
        <f t="shared" si="4"/>
        <v>444000</v>
      </c>
      <c r="J19" s="25">
        <v>444000</v>
      </c>
      <c r="K19" s="25"/>
      <c r="L19" s="44"/>
      <c r="M19" s="44"/>
      <c r="N19" s="44" t="s">
        <v>49</v>
      </c>
      <c r="O19" s="44"/>
    </row>
    <row r="20" spans="1:15" ht="24" customHeight="1">
      <c r="A20" s="20" t="s">
        <v>64</v>
      </c>
      <c r="B20" s="21" t="s">
        <v>65</v>
      </c>
      <c r="C20" s="38"/>
      <c r="D20" s="38"/>
      <c r="E20" s="38"/>
      <c r="F20" s="38"/>
      <c r="G20" s="112">
        <f>SUM(G21)</f>
        <v>1000</v>
      </c>
      <c r="H20" s="113">
        <f t="shared" si="1"/>
        <v>203000</v>
      </c>
      <c r="I20" s="22">
        <f>SUM(I21)</f>
        <v>204000</v>
      </c>
      <c r="J20" s="22">
        <f t="shared" ref="I20:M20" si="7">J21</f>
        <v>204000</v>
      </c>
      <c r="K20" s="22">
        <f t="shared" si="7"/>
        <v>0</v>
      </c>
      <c r="L20" s="22">
        <f t="shared" si="7"/>
        <v>0</v>
      </c>
      <c r="M20" s="22">
        <f t="shared" si="7"/>
        <v>0</v>
      </c>
      <c r="N20" s="38"/>
      <c r="O20" s="38"/>
    </row>
    <row r="21" spans="1:15" ht="24" customHeight="1">
      <c r="A21" s="14">
        <v>12</v>
      </c>
      <c r="B21" s="24" t="s">
        <v>66</v>
      </c>
      <c r="C21" s="25" t="s">
        <v>62</v>
      </c>
      <c r="D21" s="26" t="s">
        <v>56</v>
      </c>
      <c r="E21" s="25" t="s">
        <v>21</v>
      </c>
      <c r="F21" s="27" t="s">
        <v>67</v>
      </c>
      <c r="G21" s="25">
        <v>1000</v>
      </c>
      <c r="H21" s="30">
        <f t="shared" si="1"/>
        <v>203000</v>
      </c>
      <c r="I21" s="25">
        <f t="shared" si="4"/>
        <v>204000</v>
      </c>
      <c r="J21" s="25">
        <v>204000</v>
      </c>
      <c r="K21" s="25"/>
      <c r="L21" s="44"/>
      <c r="M21" s="44"/>
      <c r="N21" s="44" t="s">
        <v>49</v>
      </c>
      <c r="O21" s="44"/>
    </row>
    <row r="22" spans="1:15" ht="20.25" customHeight="1">
      <c r="A22" s="20" t="s">
        <v>68</v>
      </c>
      <c r="B22" s="21" t="s">
        <v>69</v>
      </c>
      <c r="C22" s="22"/>
      <c r="D22" s="28"/>
      <c r="E22" s="22"/>
      <c r="F22" s="23"/>
      <c r="G22" s="112">
        <f>SUM(G23:G27)</f>
        <v>1000</v>
      </c>
      <c r="H22" s="113">
        <f t="shared" si="1"/>
        <v>1558680</v>
      </c>
      <c r="I22" s="22">
        <f t="shared" ref="I22:M22" si="8">SUM(I23:I27)</f>
        <v>1559680</v>
      </c>
      <c r="J22" s="22">
        <f t="shared" si="8"/>
        <v>1559680</v>
      </c>
      <c r="K22" s="22">
        <f t="shared" si="8"/>
        <v>0</v>
      </c>
      <c r="L22" s="22">
        <f t="shared" si="8"/>
        <v>0</v>
      </c>
      <c r="M22" s="22">
        <f t="shared" si="8"/>
        <v>0</v>
      </c>
      <c r="N22" s="22"/>
      <c r="O22" s="22"/>
    </row>
    <row r="23" spans="1:15" ht="24" customHeight="1">
      <c r="A23" s="14">
        <v>13</v>
      </c>
      <c r="B23" s="24" t="s">
        <v>70</v>
      </c>
      <c r="C23" s="25" t="s">
        <v>19</v>
      </c>
      <c r="D23" s="26" t="s">
        <v>71</v>
      </c>
      <c r="E23" s="25" t="s">
        <v>21</v>
      </c>
      <c r="F23" s="27" t="s">
        <v>72</v>
      </c>
      <c r="G23" s="25">
        <v>200</v>
      </c>
      <c r="H23" s="30">
        <f t="shared" si="1"/>
        <v>403800</v>
      </c>
      <c r="I23" s="25">
        <f t="shared" si="4"/>
        <v>404000</v>
      </c>
      <c r="J23" s="25">
        <v>404000</v>
      </c>
      <c r="K23" s="25"/>
      <c r="L23" s="44"/>
      <c r="M23" s="44"/>
      <c r="N23" s="44" t="s">
        <v>58</v>
      </c>
      <c r="O23" s="44"/>
    </row>
    <row r="24" spans="1:15" ht="37.5" customHeight="1">
      <c r="A24" s="14">
        <v>14</v>
      </c>
      <c r="B24" s="24" t="s">
        <v>73</v>
      </c>
      <c r="C24" s="25" t="s">
        <v>62</v>
      </c>
      <c r="D24" s="26" t="s">
        <v>74</v>
      </c>
      <c r="E24" s="25" t="s">
        <v>75</v>
      </c>
      <c r="F24" s="27" t="s">
        <v>76</v>
      </c>
      <c r="G24" s="25">
        <v>200</v>
      </c>
      <c r="H24" s="30">
        <f t="shared" si="1"/>
        <v>443800</v>
      </c>
      <c r="I24" s="25">
        <f t="shared" si="4"/>
        <v>444000</v>
      </c>
      <c r="J24" s="25">
        <v>444000</v>
      </c>
      <c r="K24" s="25"/>
      <c r="L24" s="44"/>
      <c r="M24" s="44"/>
      <c r="N24" s="44" t="s">
        <v>58</v>
      </c>
      <c r="O24" s="44"/>
    </row>
    <row r="25" spans="1:15" ht="36.75" customHeight="1">
      <c r="A25" s="14">
        <v>15</v>
      </c>
      <c r="B25" s="24" t="s">
        <v>77</v>
      </c>
      <c r="C25" s="25" t="s">
        <v>19</v>
      </c>
      <c r="D25" s="26" t="s">
        <v>74</v>
      </c>
      <c r="E25" s="25" t="s">
        <v>78</v>
      </c>
      <c r="F25" s="27" t="s">
        <v>79</v>
      </c>
      <c r="G25" s="25">
        <v>200</v>
      </c>
      <c r="H25" s="30">
        <f t="shared" si="1"/>
        <v>247480</v>
      </c>
      <c r="I25" s="25">
        <f t="shared" si="4"/>
        <v>247680</v>
      </c>
      <c r="J25" s="25">
        <v>247680</v>
      </c>
      <c r="K25" s="25"/>
      <c r="L25" s="44"/>
      <c r="M25" s="44"/>
      <c r="N25" s="44" t="s">
        <v>58</v>
      </c>
      <c r="O25" s="44"/>
    </row>
    <row r="26" spans="1:15" ht="35.25" customHeight="1">
      <c r="A26" s="14">
        <v>16</v>
      </c>
      <c r="B26" s="36" t="s">
        <v>80</v>
      </c>
      <c r="C26" s="25" t="s">
        <v>19</v>
      </c>
      <c r="D26" s="26" t="s">
        <v>81</v>
      </c>
      <c r="E26" s="25" t="s">
        <v>82</v>
      </c>
      <c r="F26" s="27" t="s">
        <v>83</v>
      </c>
      <c r="G26" s="25">
        <v>200</v>
      </c>
      <c r="H26" s="30">
        <f t="shared" si="1"/>
        <v>179800</v>
      </c>
      <c r="I26" s="25">
        <f t="shared" si="4"/>
        <v>180000</v>
      </c>
      <c r="J26" s="25">
        <v>180000</v>
      </c>
      <c r="K26" s="25"/>
      <c r="L26" s="44"/>
      <c r="M26" s="44"/>
      <c r="N26" s="44" t="s">
        <v>58</v>
      </c>
      <c r="O26" s="44"/>
    </row>
    <row r="27" spans="1:15" ht="23.1" customHeight="1">
      <c r="A27" s="14">
        <v>17</v>
      </c>
      <c r="B27" s="36" t="s">
        <v>84</v>
      </c>
      <c r="C27" s="25" t="s">
        <v>19</v>
      </c>
      <c r="D27" s="26" t="s">
        <v>85</v>
      </c>
      <c r="E27" s="25" t="s">
        <v>86</v>
      </c>
      <c r="F27" s="27" t="s">
        <v>87</v>
      </c>
      <c r="G27" s="25">
        <v>200</v>
      </c>
      <c r="H27" s="30">
        <f t="shared" si="1"/>
        <v>283800</v>
      </c>
      <c r="I27" s="25">
        <f t="shared" si="4"/>
        <v>284000</v>
      </c>
      <c r="J27" s="25">
        <v>284000</v>
      </c>
      <c r="K27" s="25"/>
      <c r="L27" s="44"/>
      <c r="M27" s="44"/>
      <c r="N27" s="44" t="s">
        <v>58</v>
      </c>
      <c r="O27" s="44"/>
    </row>
    <row r="28" spans="1:15" ht="24" customHeight="1">
      <c r="A28" s="20" t="s">
        <v>88</v>
      </c>
      <c r="B28" s="37" t="s">
        <v>89</v>
      </c>
      <c r="C28" s="38"/>
      <c r="D28" s="39"/>
      <c r="E28" s="38"/>
      <c r="F28" s="39"/>
      <c r="G28" s="112">
        <f>SUM(G29:G36)</f>
        <v>63900</v>
      </c>
      <c r="H28" s="113">
        <f t="shared" si="1"/>
        <v>2397500</v>
      </c>
      <c r="I28" s="22">
        <f t="shared" ref="I28:M28" si="9">SUM(I29:I36)</f>
        <v>2461400</v>
      </c>
      <c r="J28" s="22">
        <f t="shared" si="9"/>
        <v>2461400</v>
      </c>
      <c r="K28" s="22">
        <f t="shared" si="9"/>
        <v>0</v>
      </c>
      <c r="L28" s="22">
        <f t="shared" si="9"/>
        <v>0</v>
      </c>
      <c r="M28" s="22">
        <f t="shared" si="9"/>
        <v>0</v>
      </c>
      <c r="N28" s="39"/>
      <c r="O28" s="38"/>
    </row>
    <row r="29" spans="1:15" ht="45" customHeight="1">
      <c r="A29" s="14">
        <v>18</v>
      </c>
      <c r="B29" s="24" t="s">
        <v>90</v>
      </c>
      <c r="C29" s="25" t="s">
        <v>19</v>
      </c>
      <c r="D29" s="26" t="s">
        <v>91</v>
      </c>
      <c r="E29" s="25" t="s">
        <v>92</v>
      </c>
      <c r="F29" s="27" t="s">
        <v>93</v>
      </c>
      <c r="G29" s="27"/>
      <c r="H29" s="30">
        <f t="shared" si="1"/>
        <v>1560000</v>
      </c>
      <c r="I29" s="25">
        <f t="shared" si="4"/>
        <v>1560000</v>
      </c>
      <c r="J29" s="25">
        <v>1560000</v>
      </c>
      <c r="K29" s="16"/>
      <c r="L29" s="51"/>
      <c r="M29" s="51"/>
      <c r="N29" s="44" t="s">
        <v>58</v>
      </c>
      <c r="O29" s="44"/>
    </row>
    <row r="30" spans="1:15" ht="23.1" customHeight="1">
      <c r="A30" s="14">
        <v>19</v>
      </c>
      <c r="B30" s="24" t="s">
        <v>94</v>
      </c>
      <c r="C30" s="25" t="s">
        <v>62</v>
      </c>
      <c r="D30" s="26" t="s">
        <v>38</v>
      </c>
      <c r="E30" s="25" t="s">
        <v>21</v>
      </c>
      <c r="F30" s="27" t="s">
        <v>95</v>
      </c>
      <c r="G30" s="25">
        <v>20400</v>
      </c>
      <c r="H30" s="30">
        <f t="shared" si="1"/>
        <v>367600</v>
      </c>
      <c r="I30" s="25">
        <f t="shared" si="4"/>
        <v>388000</v>
      </c>
      <c r="J30" s="25">
        <v>388000</v>
      </c>
      <c r="K30" s="16"/>
      <c r="L30" s="51"/>
      <c r="M30" s="51"/>
      <c r="N30" s="44" t="s">
        <v>58</v>
      </c>
      <c r="O30" s="44"/>
    </row>
    <row r="31" spans="1:15" ht="23.1" customHeight="1">
      <c r="A31" s="14">
        <v>20</v>
      </c>
      <c r="B31" s="36" t="s">
        <v>96</v>
      </c>
      <c r="C31" s="25" t="s">
        <v>19</v>
      </c>
      <c r="D31" s="26" t="s">
        <v>97</v>
      </c>
      <c r="E31" s="25" t="s">
        <v>21</v>
      </c>
      <c r="F31" s="27" t="s">
        <v>98</v>
      </c>
      <c r="G31" s="27"/>
      <c r="H31" s="30">
        <f t="shared" si="1"/>
        <v>148000</v>
      </c>
      <c r="I31" s="25">
        <f t="shared" si="4"/>
        <v>148000</v>
      </c>
      <c r="J31" s="25">
        <v>148000</v>
      </c>
      <c r="K31" s="16"/>
      <c r="L31" s="51"/>
      <c r="M31" s="51"/>
      <c r="N31" s="44" t="s">
        <v>58</v>
      </c>
      <c r="O31" s="44"/>
    </row>
    <row r="32" spans="1:15" ht="23.1" customHeight="1">
      <c r="A32" s="14">
        <v>21</v>
      </c>
      <c r="B32" s="40" t="s">
        <v>99</v>
      </c>
      <c r="C32" s="41" t="s">
        <v>62</v>
      </c>
      <c r="D32" s="26" t="s">
        <v>97</v>
      </c>
      <c r="E32" s="41" t="s">
        <v>100</v>
      </c>
      <c r="F32" s="24" t="s">
        <v>101</v>
      </c>
      <c r="G32" s="24"/>
      <c r="H32" s="30">
        <f t="shared" si="1"/>
        <v>312000</v>
      </c>
      <c r="I32" s="25">
        <f t="shared" si="4"/>
        <v>312000</v>
      </c>
      <c r="J32" s="25">
        <v>312000</v>
      </c>
      <c r="K32" s="24"/>
      <c r="L32" s="52"/>
      <c r="M32" s="52"/>
      <c r="N32" s="44" t="s">
        <v>58</v>
      </c>
      <c r="O32" s="44"/>
    </row>
    <row r="33" spans="1:15" ht="23.1" customHeight="1">
      <c r="A33" s="14">
        <v>22</v>
      </c>
      <c r="B33" s="40" t="s">
        <v>102</v>
      </c>
      <c r="C33" s="41" t="s">
        <v>62</v>
      </c>
      <c r="D33" s="25" t="s">
        <v>103</v>
      </c>
      <c r="E33" s="41" t="s">
        <v>104</v>
      </c>
      <c r="F33" s="24" t="s">
        <v>105</v>
      </c>
      <c r="G33" s="25">
        <v>20400</v>
      </c>
      <c r="H33" s="30">
        <f t="shared" si="1"/>
        <v>0</v>
      </c>
      <c r="I33" s="25">
        <f t="shared" si="4"/>
        <v>20400</v>
      </c>
      <c r="J33" s="25">
        <v>20400</v>
      </c>
      <c r="K33" s="24"/>
      <c r="L33" s="52"/>
      <c r="M33" s="52"/>
      <c r="N33" s="44" t="s">
        <v>58</v>
      </c>
      <c r="O33" s="44"/>
    </row>
    <row r="34" spans="1:15" ht="23.1" customHeight="1">
      <c r="A34" s="14">
        <v>23</v>
      </c>
      <c r="B34" s="27" t="s">
        <v>106</v>
      </c>
      <c r="C34" s="41" t="s">
        <v>62</v>
      </c>
      <c r="D34" s="42" t="s">
        <v>42</v>
      </c>
      <c r="E34" s="25" t="s">
        <v>107</v>
      </c>
      <c r="F34" s="27" t="s">
        <v>108</v>
      </c>
      <c r="G34" s="43">
        <v>17100</v>
      </c>
      <c r="H34" s="30">
        <f t="shared" si="1"/>
        <v>0</v>
      </c>
      <c r="I34" s="25">
        <f t="shared" si="4"/>
        <v>17100</v>
      </c>
      <c r="J34" s="43">
        <v>17100</v>
      </c>
      <c r="K34" s="48"/>
      <c r="L34" s="52"/>
      <c r="M34" s="52"/>
      <c r="N34" s="53" t="s">
        <v>109</v>
      </c>
      <c r="O34" s="44"/>
    </row>
    <row r="35" spans="1:15" ht="23.1" customHeight="1">
      <c r="A35" s="14">
        <v>24</v>
      </c>
      <c r="B35" s="27" t="s">
        <v>110</v>
      </c>
      <c r="C35" s="41" t="s">
        <v>62</v>
      </c>
      <c r="D35" s="41" t="s">
        <v>111</v>
      </c>
      <c r="E35" s="25" t="s">
        <v>21</v>
      </c>
      <c r="F35" s="27" t="s">
        <v>112</v>
      </c>
      <c r="G35" s="43">
        <v>6000</v>
      </c>
      <c r="H35" s="30">
        <f t="shared" si="1"/>
        <v>0</v>
      </c>
      <c r="I35" s="25">
        <f t="shared" si="4"/>
        <v>6000</v>
      </c>
      <c r="J35" s="25">
        <v>6000</v>
      </c>
      <c r="K35" s="48"/>
      <c r="L35" s="52"/>
      <c r="M35" s="52"/>
      <c r="N35" s="53" t="s">
        <v>109</v>
      </c>
      <c r="O35" s="44"/>
    </row>
    <row r="36" spans="1:15" ht="23.1" customHeight="1">
      <c r="A36" s="14">
        <v>25</v>
      </c>
      <c r="B36" s="27" t="s">
        <v>113</v>
      </c>
      <c r="C36" s="41" t="s">
        <v>62</v>
      </c>
      <c r="D36" s="42" t="s">
        <v>91</v>
      </c>
      <c r="E36" s="25" t="s">
        <v>114</v>
      </c>
      <c r="F36" s="27" t="s">
        <v>115</v>
      </c>
      <c r="G36" s="27"/>
      <c r="H36" s="30">
        <f t="shared" si="1"/>
        <v>9900</v>
      </c>
      <c r="I36" s="25">
        <f t="shared" si="4"/>
        <v>9900</v>
      </c>
      <c r="J36" s="25">
        <v>9900</v>
      </c>
      <c r="K36" s="48"/>
      <c r="L36" s="52"/>
      <c r="M36" s="52"/>
      <c r="N36" s="53" t="s">
        <v>109</v>
      </c>
      <c r="O36" s="44"/>
    </row>
    <row r="37" spans="1:15" ht="23.1" customHeight="1">
      <c r="A37" s="20" t="s">
        <v>116</v>
      </c>
      <c r="B37" s="37" t="s">
        <v>117</v>
      </c>
      <c r="C37" s="38"/>
      <c r="D37" s="39"/>
      <c r="E37" s="38"/>
      <c r="F37" s="39"/>
      <c r="G37" s="112">
        <f>SUM(G38)</f>
        <v>30000</v>
      </c>
      <c r="H37" s="113">
        <f t="shared" si="1"/>
        <v>25000</v>
      </c>
      <c r="I37" s="22">
        <f t="shared" ref="I37:M37" si="10">SUM(I38)</f>
        <v>55000</v>
      </c>
      <c r="J37" s="22">
        <f t="shared" si="10"/>
        <v>55000</v>
      </c>
      <c r="K37" s="22">
        <f t="shared" si="10"/>
        <v>0</v>
      </c>
      <c r="L37" s="22">
        <f t="shared" si="10"/>
        <v>0</v>
      </c>
      <c r="M37" s="22">
        <f t="shared" si="10"/>
        <v>0</v>
      </c>
      <c r="N37" s="38"/>
      <c r="O37" s="38"/>
    </row>
    <row r="38" spans="1:15" ht="23.1" customHeight="1">
      <c r="A38" s="14">
        <v>26</v>
      </c>
      <c r="B38" s="40" t="s">
        <v>118</v>
      </c>
      <c r="C38" s="25" t="s">
        <v>119</v>
      </c>
      <c r="D38" s="25" t="s">
        <v>120</v>
      </c>
      <c r="E38" s="44" t="s">
        <v>21</v>
      </c>
      <c r="F38" s="24" t="s">
        <v>121</v>
      </c>
      <c r="G38" s="25">
        <v>30000</v>
      </c>
      <c r="H38" s="30">
        <f t="shared" si="1"/>
        <v>25000</v>
      </c>
      <c r="I38" s="25">
        <f t="shared" si="4"/>
        <v>55000</v>
      </c>
      <c r="J38" s="25">
        <v>55000</v>
      </c>
      <c r="K38" s="24"/>
      <c r="L38" s="52"/>
      <c r="M38" s="52"/>
      <c r="N38" s="44" t="s">
        <v>58</v>
      </c>
      <c r="O38" s="44"/>
    </row>
    <row r="39" spans="1:15" ht="24" customHeight="1">
      <c r="A39" s="20" t="s">
        <v>122</v>
      </c>
      <c r="B39" s="37" t="s">
        <v>123</v>
      </c>
      <c r="C39" s="38"/>
      <c r="D39" s="39"/>
      <c r="E39" s="38"/>
      <c r="F39" s="39"/>
      <c r="G39" s="114">
        <f>G40+G52</f>
        <v>70598</v>
      </c>
      <c r="H39" s="113">
        <f t="shared" si="1"/>
        <v>0</v>
      </c>
      <c r="I39" s="45">
        <f t="shared" ref="I39:M39" si="11">I40+I52</f>
        <v>70598</v>
      </c>
      <c r="J39" s="45">
        <f t="shared" si="11"/>
        <v>70598</v>
      </c>
      <c r="K39" s="45">
        <f t="shared" si="11"/>
        <v>0</v>
      </c>
      <c r="L39" s="45">
        <f t="shared" si="11"/>
        <v>0</v>
      </c>
      <c r="M39" s="45">
        <f t="shared" si="11"/>
        <v>0</v>
      </c>
      <c r="N39" s="39"/>
      <c r="O39" s="38"/>
    </row>
    <row r="40" spans="1:15" ht="33" customHeight="1">
      <c r="A40" s="14">
        <v>27</v>
      </c>
      <c r="B40" s="46" t="s">
        <v>124</v>
      </c>
      <c r="C40" s="16" t="s">
        <v>119</v>
      </c>
      <c r="D40" s="16" t="s">
        <v>125</v>
      </c>
      <c r="E40" s="44" t="s">
        <v>21</v>
      </c>
      <c r="F40" s="47" t="s">
        <v>126</v>
      </c>
      <c r="G40" s="18">
        <f>SUM(G41:G51)</f>
        <v>54560</v>
      </c>
      <c r="H40" s="19">
        <f t="shared" si="1"/>
        <v>0</v>
      </c>
      <c r="I40" s="18">
        <f>SUM(I41:I51)</f>
        <v>54560</v>
      </c>
      <c r="J40" s="18">
        <f>SUM(J41:J51)</f>
        <v>54560</v>
      </c>
      <c r="K40" s="24"/>
      <c r="L40" s="52"/>
      <c r="M40" s="52"/>
      <c r="N40" s="44" t="s">
        <v>58</v>
      </c>
      <c r="O40" s="44"/>
    </row>
    <row r="41" spans="1:15" ht="24" customHeight="1">
      <c r="A41" s="14" t="s">
        <v>127</v>
      </c>
      <c r="B41" s="40" t="s">
        <v>128</v>
      </c>
      <c r="C41" s="25" t="s">
        <v>119</v>
      </c>
      <c r="D41" s="25" t="s">
        <v>125</v>
      </c>
      <c r="E41" s="41" t="s">
        <v>43</v>
      </c>
      <c r="F41" s="48" t="s">
        <v>129</v>
      </c>
      <c r="G41" s="49">
        <f>I41</f>
        <v>12959</v>
      </c>
      <c r="H41" s="30">
        <f t="shared" si="1"/>
        <v>0</v>
      </c>
      <c r="I41" s="25">
        <f t="shared" ref="I41:I83" si="12">SUM(J41:M41)</f>
        <v>12959</v>
      </c>
      <c r="J41" s="49">
        <f>ROUND(199.366*65,0)</f>
        <v>12959</v>
      </c>
      <c r="K41" s="54"/>
      <c r="L41" s="52"/>
      <c r="M41" s="52"/>
      <c r="N41" s="44" t="s">
        <v>58</v>
      </c>
      <c r="O41" s="44"/>
    </row>
    <row r="42" spans="1:15" ht="24" customHeight="1">
      <c r="A42" s="14" t="s">
        <v>130</v>
      </c>
      <c r="B42" s="40" t="s">
        <v>131</v>
      </c>
      <c r="C42" s="25" t="s">
        <v>119</v>
      </c>
      <c r="D42" s="25" t="s">
        <v>125</v>
      </c>
      <c r="E42" s="41" t="s">
        <v>132</v>
      </c>
      <c r="F42" s="48" t="s">
        <v>133</v>
      </c>
      <c r="G42" s="49">
        <f t="shared" ref="G42:G51" si="13">I42</f>
        <v>9382</v>
      </c>
      <c r="H42" s="30">
        <f t="shared" si="1"/>
        <v>0</v>
      </c>
      <c r="I42" s="25">
        <f t="shared" si="12"/>
        <v>9382</v>
      </c>
      <c r="J42" s="49">
        <f>ROUND(144.34*65,0)</f>
        <v>9382</v>
      </c>
      <c r="K42" s="54"/>
      <c r="L42" s="52"/>
      <c r="M42" s="52"/>
      <c r="N42" s="44" t="s">
        <v>58</v>
      </c>
      <c r="O42" s="44"/>
    </row>
    <row r="43" spans="1:15" ht="24" customHeight="1">
      <c r="A43" s="14" t="s">
        <v>134</v>
      </c>
      <c r="B43" s="40" t="s">
        <v>135</v>
      </c>
      <c r="C43" s="25" t="s">
        <v>119</v>
      </c>
      <c r="D43" s="25" t="s">
        <v>125</v>
      </c>
      <c r="E43" s="41" t="s">
        <v>136</v>
      </c>
      <c r="F43" s="48" t="s">
        <v>137</v>
      </c>
      <c r="G43" s="49">
        <f t="shared" si="13"/>
        <v>8537</v>
      </c>
      <c r="H43" s="30">
        <f t="shared" si="1"/>
        <v>0</v>
      </c>
      <c r="I43" s="25">
        <f t="shared" si="12"/>
        <v>8537</v>
      </c>
      <c r="J43" s="49">
        <f>ROUND(131.344*65,0)</f>
        <v>8537</v>
      </c>
      <c r="K43" s="54"/>
      <c r="L43" s="52"/>
      <c r="M43" s="52"/>
      <c r="N43" s="44" t="s">
        <v>58</v>
      </c>
      <c r="O43" s="44"/>
    </row>
    <row r="44" spans="1:15" ht="24" customHeight="1">
      <c r="A44" s="14" t="s">
        <v>138</v>
      </c>
      <c r="B44" s="40" t="s">
        <v>139</v>
      </c>
      <c r="C44" s="25" t="s">
        <v>119</v>
      </c>
      <c r="D44" s="25" t="s">
        <v>125</v>
      </c>
      <c r="E44" s="41" t="s">
        <v>140</v>
      </c>
      <c r="F44" s="48" t="s">
        <v>141</v>
      </c>
      <c r="G44" s="49">
        <f t="shared" si="13"/>
        <v>5961</v>
      </c>
      <c r="H44" s="30">
        <f t="shared" si="1"/>
        <v>0</v>
      </c>
      <c r="I44" s="25">
        <f t="shared" si="12"/>
        <v>5961</v>
      </c>
      <c r="J44" s="49">
        <f>ROUND(91.701*65,0)</f>
        <v>5961</v>
      </c>
      <c r="K44" s="54"/>
      <c r="L44" s="52"/>
      <c r="M44" s="52"/>
      <c r="N44" s="44" t="s">
        <v>58</v>
      </c>
      <c r="O44" s="44"/>
    </row>
    <row r="45" spans="1:15" ht="24" customHeight="1">
      <c r="A45" s="14" t="s">
        <v>142</v>
      </c>
      <c r="B45" s="40" t="s">
        <v>143</v>
      </c>
      <c r="C45" s="25" t="s">
        <v>119</v>
      </c>
      <c r="D45" s="25" t="s">
        <v>125</v>
      </c>
      <c r="E45" s="41" t="s">
        <v>144</v>
      </c>
      <c r="F45" s="48" t="s">
        <v>145</v>
      </c>
      <c r="G45" s="49">
        <f t="shared" si="13"/>
        <v>3706</v>
      </c>
      <c r="H45" s="30">
        <f t="shared" si="1"/>
        <v>0</v>
      </c>
      <c r="I45" s="25">
        <f t="shared" si="12"/>
        <v>3706</v>
      </c>
      <c r="J45" s="49">
        <f>ROUND(57.011*65,0)</f>
        <v>3706</v>
      </c>
      <c r="K45" s="54"/>
      <c r="L45" s="52"/>
      <c r="M45" s="52"/>
      <c r="N45" s="44" t="s">
        <v>58</v>
      </c>
      <c r="O45" s="44"/>
    </row>
    <row r="46" spans="1:15" ht="24" customHeight="1">
      <c r="A46" s="14" t="s">
        <v>146</v>
      </c>
      <c r="B46" s="40" t="s">
        <v>147</v>
      </c>
      <c r="C46" s="25" t="s">
        <v>119</v>
      </c>
      <c r="D46" s="25" t="s">
        <v>125</v>
      </c>
      <c r="E46" s="41" t="s">
        <v>148</v>
      </c>
      <c r="F46" s="48" t="s">
        <v>149</v>
      </c>
      <c r="G46" s="49">
        <f t="shared" si="13"/>
        <v>648</v>
      </c>
      <c r="H46" s="30">
        <f t="shared" si="1"/>
        <v>0</v>
      </c>
      <c r="I46" s="25">
        <f t="shared" si="12"/>
        <v>648</v>
      </c>
      <c r="J46" s="49">
        <f>ROUND(9.976*65,0)</f>
        <v>648</v>
      </c>
      <c r="K46" s="54"/>
      <c r="L46" s="52"/>
      <c r="M46" s="52"/>
      <c r="N46" s="44" t="s">
        <v>58</v>
      </c>
      <c r="O46" s="44"/>
    </row>
    <row r="47" spans="1:15" ht="24" customHeight="1">
      <c r="A47" s="14" t="s">
        <v>150</v>
      </c>
      <c r="B47" s="40" t="s">
        <v>151</v>
      </c>
      <c r="C47" s="25" t="s">
        <v>119</v>
      </c>
      <c r="D47" s="25" t="s">
        <v>125</v>
      </c>
      <c r="E47" s="41" t="s">
        <v>152</v>
      </c>
      <c r="F47" s="48" t="s">
        <v>153</v>
      </c>
      <c r="G47" s="49">
        <f t="shared" si="13"/>
        <v>748</v>
      </c>
      <c r="H47" s="30">
        <f t="shared" si="1"/>
        <v>0</v>
      </c>
      <c r="I47" s="25">
        <f t="shared" si="12"/>
        <v>748</v>
      </c>
      <c r="J47" s="49">
        <f>ROUND(11.504*65,0)</f>
        <v>748</v>
      </c>
      <c r="K47" s="54"/>
      <c r="L47" s="52"/>
      <c r="M47" s="52"/>
      <c r="N47" s="44" t="s">
        <v>58</v>
      </c>
      <c r="O47" s="44"/>
    </row>
    <row r="48" spans="1:15" ht="24" customHeight="1">
      <c r="A48" s="14" t="s">
        <v>154</v>
      </c>
      <c r="B48" s="40" t="s">
        <v>155</v>
      </c>
      <c r="C48" s="25" t="s">
        <v>119</v>
      </c>
      <c r="D48" s="25" t="s">
        <v>125</v>
      </c>
      <c r="E48" s="41" t="s">
        <v>156</v>
      </c>
      <c r="F48" s="48" t="s">
        <v>157</v>
      </c>
      <c r="G48" s="49">
        <f t="shared" si="13"/>
        <v>4105</v>
      </c>
      <c r="H48" s="30">
        <f t="shared" si="1"/>
        <v>0</v>
      </c>
      <c r="I48" s="25">
        <f t="shared" si="12"/>
        <v>4105</v>
      </c>
      <c r="J48" s="49">
        <f>ROUND(63.158*65,0)</f>
        <v>4105</v>
      </c>
      <c r="K48" s="54"/>
      <c r="L48" s="52"/>
      <c r="M48" s="52"/>
      <c r="N48" s="44" t="s">
        <v>58</v>
      </c>
      <c r="O48" s="44"/>
    </row>
    <row r="49" spans="1:15" ht="24" customHeight="1">
      <c r="A49" s="14" t="s">
        <v>158</v>
      </c>
      <c r="B49" s="40" t="s">
        <v>159</v>
      </c>
      <c r="C49" s="25" t="s">
        <v>119</v>
      </c>
      <c r="D49" s="25" t="s">
        <v>125</v>
      </c>
      <c r="E49" s="41" t="s">
        <v>160</v>
      </c>
      <c r="F49" s="48" t="s">
        <v>161</v>
      </c>
      <c r="G49" s="49">
        <f t="shared" si="13"/>
        <v>2051</v>
      </c>
      <c r="H49" s="30">
        <f t="shared" si="1"/>
        <v>0</v>
      </c>
      <c r="I49" s="25">
        <f t="shared" si="12"/>
        <v>2051</v>
      </c>
      <c r="J49" s="49">
        <f>ROUND(31.547*65,0)</f>
        <v>2051</v>
      </c>
      <c r="K49" s="54"/>
      <c r="L49" s="52"/>
      <c r="M49" s="52"/>
      <c r="N49" s="44" t="s">
        <v>58</v>
      </c>
      <c r="O49" s="44"/>
    </row>
    <row r="50" spans="1:15" ht="24" customHeight="1">
      <c r="A50" s="14" t="s">
        <v>162</v>
      </c>
      <c r="B50" s="40" t="s">
        <v>163</v>
      </c>
      <c r="C50" s="25" t="s">
        <v>119</v>
      </c>
      <c r="D50" s="25" t="s">
        <v>125</v>
      </c>
      <c r="E50" s="41" t="s">
        <v>164</v>
      </c>
      <c r="F50" s="48" t="s">
        <v>165</v>
      </c>
      <c r="G50" s="49">
        <f t="shared" si="13"/>
        <v>2773</v>
      </c>
      <c r="H50" s="30">
        <f t="shared" si="1"/>
        <v>0</v>
      </c>
      <c r="I50" s="25">
        <f t="shared" si="12"/>
        <v>2773</v>
      </c>
      <c r="J50" s="49">
        <f>ROUND(42.661*65,0)</f>
        <v>2773</v>
      </c>
      <c r="K50" s="54"/>
      <c r="L50" s="52"/>
      <c r="M50" s="52"/>
      <c r="N50" s="44" t="s">
        <v>58</v>
      </c>
      <c r="O50" s="44"/>
    </row>
    <row r="51" spans="1:15" ht="24" customHeight="1">
      <c r="A51" s="14" t="s">
        <v>166</v>
      </c>
      <c r="B51" s="40" t="s">
        <v>167</v>
      </c>
      <c r="C51" s="25" t="s">
        <v>119</v>
      </c>
      <c r="D51" s="25" t="s">
        <v>125</v>
      </c>
      <c r="E51" s="41" t="s">
        <v>168</v>
      </c>
      <c r="F51" s="48" t="s">
        <v>169</v>
      </c>
      <c r="G51" s="49">
        <f t="shared" si="13"/>
        <v>3690</v>
      </c>
      <c r="H51" s="30">
        <f t="shared" si="1"/>
        <v>0</v>
      </c>
      <c r="I51" s="25">
        <f t="shared" si="12"/>
        <v>3690</v>
      </c>
      <c r="J51" s="49">
        <f>ROUND(56.776*65,0)</f>
        <v>3690</v>
      </c>
      <c r="K51" s="54"/>
      <c r="L51" s="52"/>
      <c r="M51" s="52"/>
      <c r="N51" s="44" t="s">
        <v>58</v>
      </c>
      <c r="O51" s="44"/>
    </row>
    <row r="52" spans="1:15" ht="29.25" customHeight="1">
      <c r="A52" s="14">
        <v>28</v>
      </c>
      <c r="B52" s="46" t="s">
        <v>170</v>
      </c>
      <c r="C52" s="16" t="s">
        <v>119</v>
      </c>
      <c r="D52" s="16" t="s">
        <v>171</v>
      </c>
      <c r="E52" s="44" t="s">
        <v>21</v>
      </c>
      <c r="F52" s="47" t="s">
        <v>172</v>
      </c>
      <c r="G52" s="18">
        <f>SUM(G53:G63)</f>
        <v>16038</v>
      </c>
      <c r="H52" s="19">
        <f t="shared" si="1"/>
        <v>0</v>
      </c>
      <c r="I52" s="18">
        <f t="shared" ref="I52:M52" si="14">SUM(I53:I63)</f>
        <v>16038</v>
      </c>
      <c r="J52" s="18">
        <f t="shared" si="14"/>
        <v>16038</v>
      </c>
      <c r="K52" s="18">
        <f t="shared" si="14"/>
        <v>0</v>
      </c>
      <c r="L52" s="18">
        <f t="shared" si="14"/>
        <v>0</v>
      </c>
      <c r="M52" s="18">
        <f t="shared" si="14"/>
        <v>0</v>
      </c>
      <c r="N52" s="44" t="s">
        <v>58</v>
      </c>
      <c r="O52" s="44"/>
    </row>
    <row r="53" spans="1:15" ht="24" customHeight="1">
      <c r="A53" s="14" t="s">
        <v>127</v>
      </c>
      <c r="B53" s="40" t="s">
        <v>173</v>
      </c>
      <c r="C53" s="25" t="s">
        <v>119</v>
      </c>
      <c r="D53" s="25" t="s">
        <v>171</v>
      </c>
      <c r="E53" s="41" t="s">
        <v>43</v>
      </c>
      <c r="F53" s="48" t="s">
        <v>174</v>
      </c>
      <c r="G53" s="49">
        <f>I53</f>
        <v>1588</v>
      </c>
      <c r="H53" s="30">
        <f t="shared" si="1"/>
        <v>0</v>
      </c>
      <c r="I53" s="25">
        <f t="shared" si="12"/>
        <v>1588</v>
      </c>
      <c r="J53" s="49">
        <f>ROUND(26.466*60,0)</f>
        <v>1588</v>
      </c>
      <c r="K53" s="24"/>
      <c r="L53" s="52"/>
      <c r="M53" s="52"/>
      <c r="N53" s="44" t="s">
        <v>58</v>
      </c>
      <c r="O53" s="44"/>
    </row>
    <row r="54" spans="1:15" ht="24" customHeight="1">
      <c r="A54" s="14" t="s">
        <v>130</v>
      </c>
      <c r="B54" s="40" t="s">
        <v>175</v>
      </c>
      <c r="C54" s="25" t="s">
        <v>119</v>
      </c>
      <c r="D54" s="25" t="s">
        <v>171</v>
      </c>
      <c r="E54" s="41" t="s">
        <v>132</v>
      </c>
      <c r="F54" s="48" t="s">
        <v>176</v>
      </c>
      <c r="G54" s="49">
        <f t="shared" ref="G54:G63" si="15">I54</f>
        <v>2196</v>
      </c>
      <c r="H54" s="30">
        <f t="shared" si="1"/>
        <v>0</v>
      </c>
      <c r="I54" s="25">
        <f t="shared" si="12"/>
        <v>2196</v>
      </c>
      <c r="J54" s="49">
        <f>ROUND(36.602*60,0)</f>
        <v>2196</v>
      </c>
      <c r="K54" s="24"/>
      <c r="L54" s="52"/>
      <c r="M54" s="52"/>
      <c r="N54" s="44" t="s">
        <v>58</v>
      </c>
      <c r="O54" s="44"/>
    </row>
    <row r="55" spans="1:15" ht="24" customHeight="1">
      <c r="A55" s="14" t="s">
        <v>134</v>
      </c>
      <c r="B55" s="40" t="s">
        <v>177</v>
      </c>
      <c r="C55" s="25" t="s">
        <v>119</v>
      </c>
      <c r="D55" s="25" t="s">
        <v>171</v>
      </c>
      <c r="E55" s="41" t="s">
        <v>136</v>
      </c>
      <c r="F55" s="48" t="s">
        <v>178</v>
      </c>
      <c r="G55" s="49">
        <f t="shared" si="15"/>
        <v>2007</v>
      </c>
      <c r="H55" s="30">
        <f t="shared" si="1"/>
        <v>0</v>
      </c>
      <c r="I55" s="25">
        <f t="shared" si="12"/>
        <v>2007</v>
      </c>
      <c r="J55" s="49">
        <f>ROUND(33.442*60,0)</f>
        <v>2007</v>
      </c>
      <c r="K55" s="24"/>
      <c r="L55" s="52"/>
      <c r="M55" s="52"/>
      <c r="N55" s="44" t="s">
        <v>58</v>
      </c>
      <c r="O55" s="44"/>
    </row>
    <row r="56" spans="1:15" ht="24" customHeight="1">
      <c r="A56" s="14" t="s">
        <v>138</v>
      </c>
      <c r="B56" s="40" t="s">
        <v>179</v>
      </c>
      <c r="C56" s="25" t="s">
        <v>119</v>
      </c>
      <c r="D56" s="25" t="s">
        <v>171</v>
      </c>
      <c r="E56" s="41" t="s">
        <v>140</v>
      </c>
      <c r="F56" s="48" t="s">
        <v>180</v>
      </c>
      <c r="G56" s="49">
        <f t="shared" si="15"/>
        <v>749</v>
      </c>
      <c r="H56" s="30">
        <f t="shared" si="1"/>
        <v>0</v>
      </c>
      <c r="I56" s="25">
        <f t="shared" si="12"/>
        <v>749</v>
      </c>
      <c r="J56" s="49">
        <f>ROUND(12.491*60,0)</f>
        <v>749</v>
      </c>
      <c r="K56" s="24"/>
      <c r="L56" s="52"/>
      <c r="M56" s="52"/>
      <c r="N56" s="44" t="s">
        <v>58</v>
      </c>
      <c r="O56" s="44"/>
    </row>
    <row r="57" spans="1:15" ht="24" customHeight="1">
      <c r="A57" s="14" t="s">
        <v>142</v>
      </c>
      <c r="B57" s="40" t="s">
        <v>181</v>
      </c>
      <c r="C57" s="25" t="s">
        <v>119</v>
      </c>
      <c r="D57" s="25" t="s">
        <v>171</v>
      </c>
      <c r="E57" s="41" t="s">
        <v>144</v>
      </c>
      <c r="F57" s="48" t="s">
        <v>182</v>
      </c>
      <c r="G57" s="49">
        <f t="shared" si="15"/>
        <v>907</v>
      </c>
      <c r="H57" s="30">
        <f t="shared" si="1"/>
        <v>0</v>
      </c>
      <c r="I57" s="25">
        <f t="shared" si="12"/>
        <v>907</v>
      </c>
      <c r="J57" s="49">
        <f>ROUND(15.114*60,0)</f>
        <v>907</v>
      </c>
      <c r="K57" s="24"/>
      <c r="L57" s="52"/>
      <c r="M57" s="52"/>
      <c r="N57" s="44" t="s">
        <v>58</v>
      </c>
      <c r="O57" s="44"/>
    </row>
    <row r="58" spans="1:15" ht="24" customHeight="1">
      <c r="A58" s="14" t="s">
        <v>146</v>
      </c>
      <c r="B58" s="40" t="s">
        <v>183</v>
      </c>
      <c r="C58" s="25" t="s">
        <v>119</v>
      </c>
      <c r="D58" s="25" t="s">
        <v>171</v>
      </c>
      <c r="E58" s="41" t="s">
        <v>148</v>
      </c>
      <c r="F58" s="48" t="s">
        <v>184</v>
      </c>
      <c r="G58" s="49">
        <f t="shared" si="15"/>
        <v>546</v>
      </c>
      <c r="H58" s="30">
        <f t="shared" si="1"/>
        <v>0</v>
      </c>
      <c r="I58" s="25">
        <f t="shared" si="12"/>
        <v>546</v>
      </c>
      <c r="J58" s="49">
        <f>ROUND(9.1*60,0)</f>
        <v>546</v>
      </c>
      <c r="K58" s="24"/>
      <c r="L58" s="52"/>
      <c r="M58" s="52"/>
      <c r="N58" s="44" t="s">
        <v>58</v>
      </c>
      <c r="O58" s="44"/>
    </row>
    <row r="59" spans="1:15" ht="24" customHeight="1">
      <c r="A59" s="14" t="s">
        <v>150</v>
      </c>
      <c r="B59" s="40" t="s">
        <v>185</v>
      </c>
      <c r="C59" s="25" t="s">
        <v>119</v>
      </c>
      <c r="D59" s="25" t="s">
        <v>171</v>
      </c>
      <c r="E59" s="41" t="s">
        <v>152</v>
      </c>
      <c r="F59" s="48" t="s">
        <v>186</v>
      </c>
      <c r="G59" s="49">
        <f t="shared" si="15"/>
        <v>376</v>
      </c>
      <c r="H59" s="30">
        <f t="shared" si="1"/>
        <v>0</v>
      </c>
      <c r="I59" s="25">
        <f t="shared" si="12"/>
        <v>376</v>
      </c>
      <c r="J59" s="49">
        <f>ROUND(6.274*60,0)</f>
        <v>376</v>
      </c>
      <c r="K59" s="24"/>
      <c r="L59" s="52"/>
      <c r="M59" s="52"/>
      <c r="N59" s="44" t="s">
        <v>58</v>
      </c>
      <c r="O59" s="44"/>
    </row>
    <row r="60" spans="1:15" ht="24" customHeight="1">
      <c r="A60" s="14" t="s">
        <v>154</v>
      </c>
      <c r="B60" s="40" t="s">
        <v>187</v>
      </c>
      <c r="C60" s="25" t="s">
        <v>119</v>
      </c>
      <c r="D60" s="25" t="s">
        <v>171</v>
      </c>
      <c r="E60" s="41" t="s">
        <v>156</v>
      </c>
      <c r="F60" s="48" t="s">
        <v>188</v>
      </c>
      <c r="G60" s="49">
        <f t="shared" si="15"/>
        <v>171</v>
      </c>
      <c r="H60" s="30">
        <f t="shared" si="1"/>
        <v>0</v>
      </c>
      <c r="I60" s="25">
        <f t="shared" si="12"/>
        <v>171</v>
      </c>
      <c r="J60" s="49">
        <f>ROUND(2.847*60,0)</f>
        <v>171</v>
      </c>
      <c r="K60" s="24"/>
      <c r="L60" s="52"/>
      <c r="M60" s="52"/>
      <c r="N60" s="44" t="s">
        <v>58</v>
      </c>
      <c r="O60" s="44"/>
    </row>
    <row r="61" spans="1:15" ht="24" customHeight="1">
      <c r="A61" s="14" t="s">
        <v>158</v>
      </c>
      <c r="B61" s="40" t="s">
        <v>189</v>
      </c>
      <c r="C61" s="25" t="s">
        <v>119</v>
      </c>
      <c r="D61" s="25" t="s">
        <v>171</v>
      </c>
      <c r="E61" s="41" t="s">
        <v>160</v>
      </c>
      <c r="F61" s="48" t="s">
        <v>190</v>
      </c>
      <c r="G61" s="49">
        <f t="shared" si="15"/>
        <v>1531</v>
      </c>
      <c r="H61" s="30">
        <f t="shared" si="1"/>
        <v>0</v>
      </c>
      <c r="I61" s="25">
        <f t="shared" si="12"/>
        <v>1531</v>
      </c>
      <c r="J61" s="49">
        <f>ROUND(25.512*60,0)</f>
        <v>1531</v>
      </c>
      <c r="K61" s="24"/>
      <c r="L61" s="52"/>
      <c r="M61" s="52"/>
      <c r="N61" s="44" t="s">
        <v>58</v>
      </c>
      <c r="O61" s="44"/>
    </row>
    <row r="62" spans="1:15" ht="24" customHeight="1">
      <c r="A62" s="14" t="s">
        <v>162</v>
      </c>
      <c r="B62" s="40" t="s">
        <v>191</v>
      </c>
      <c r="C62" s="25" t="s">
        <v>119</v>
      </c>
      <c r="D62" s="25" t="s">
        <v>171</v>
      </c>
      <c r="E62" s="41" t="s">
        <v>164</v>
      </c>
      <c r="F62" s="48" t="s">
        <v>165</v>
      </c>
      <c r="G62" s="49">
        <f t="shared" si="15"/>
        <v>2560</v>
      </c>
      <c r="H62" s="30">
        <f t="shared" si="1"/>
        <v>0</v>
      </c>
      <c r="I62" s="25">
        <f t="shared" si="12"/>
        <v>2560</v>
      </c>
      <c r="J62" s="49">
        <f>ROUND(42.661*60,0)</f>
        <v>2560</v>
      </c>
      <c r="K62" s="24"/>
      <c r="L62" s="52"/>
      <c r="M62" s="52"/>
      <c r="N62" s="44" t="s">
        <v>58</v>
      </c>
      <c r="O62" s="44"/>
    </row>
    <row r="63" spans="1:15" ht="24" customHeight="1">
      <c r="A63" s="14" t="s">
        <v>166</v>
      </c>
      <c r="B63" s="40" t="s">
        <v>192</v>
      </c>
      <c r="C63" s="25" t="s">
        <v>119</v>
      </c>
      <c r="D63" s="25" t="s">
        <v>171</v>
      </c>
      <c r="E63" s="41" t="s">
        <v>168</v>
      </c>
      <c r="F63" s="48" t="s">
        <v>169</v>
      </c>
      <c r="G63" s="49">
        <f t="shared" si="15"/>
        <v>3407</v>
      </c>
      <c r="H63" s="30">
        <f t="shared" si="1"/>
        <v>0</v>
      </c>
      <c r="I63" s="25">
        <f t="shared" si="12"/>
        <v>3407</v>
      </c>
      <c r="J63" s="49">
        <f>ROUND(56.776*60,0)</f>
        <v>3407</v>
      </c>
      <c r="K63" s="24"/>
      <c r="L63" s="52"/>
      <c r="M63" s="52"/>
      <c r="N63" s="44" t="s">
        <v>58</v>
      </c>
      <c r="O63" s="44"/>
    </row>
    <row r="64" spans="1:15" ht="24" customHeight="1">
      <c r="A64" s="20" t="s">
        <v>193</v>
      </c>
      <c r="B64" s="21" t="s">
        <v>194</v>
      </c>
      <c r="C64" s="22"/>
      <c r="D64" s="22"/>
      <c r="E64" s="22"/>
      <c r="F64" s="23"/>
      <c r="G64" s="112">
        <f>SUM(G65)</f>
        <v>10500</v>
      </c>
      <c r="H64" s="113">
        <f t="shared" si="1"/>
        <v>0</v>
      </c>
      <c r="I64" s="22">
        <f t="shared" ref="I64:M64" si="16">SUM(I65)</f>
        <v>10500</v>
      </c>
      <c r="J64" s="22">
        <f t="shared" si="16"/>
        <v>10500</v>
      </c>
      <c r="K64" s="22">
        <f t="shared" si="16"/>
        <v>0</v>
      </c>
      <c r="L64" s="22">
        <f t="shared" si="16"/>
        <v>0</v>
      </c>
      <c r="M64" s="22">
        <f t="shared" si="16"/>
        <v>0</v>
      </c>
      <c r="N64" s="22"/>
      <c r="O64" s="38"/>
    </row>
    <row r="65" spans="1:15" ht="33" customHeight="1">
      <c r="A65" s="14">
        <v>29</v>
      </c>
      <c r="B65" s="24" t="s">
        <v>195</v>
      </c>
      <c r="C65" s="25" t="s">
        <v>62</v>
      </c>
      <c r="D65" s="25" t="s">
        <v>125</v>
      </c>
      <c r="E65" s="44" t="s">
        <v>21</v>
      </c>
      <c r="F65" s="27" t="s">
        <v>196</v>
      </c>
      <c r="G65" s="25">
        <v>10500</v>
      </c>
      <c r="H65" s="30">
        <f t="shared" si="1"/>
        <v>0</v>
      </c>
      <c r="I65" s="25">
        <f t="shared" si="12"/>
        <v>10500</v>
      </c>
      <c r="J65" s="25">
        <v>10500</v>
      </c>
      <c r="K65" s="25"/>
      <c r="L65" s="44"/>
      <c r="M65" s="44"/>
      <c r="N65" s="44" t="s">
        <v>58</v>
      </c>
      <c r="O65" s="44"/>
    </row>
    <row r="66" spans="1:15" ht="24" customHeight="1">
      <c r="A66" s="20" t="s">
        <v>197</v>
      </c>
      <c r="B66" s="21" t="s">
        <v>198</v>
      </c>
      <c r="C66" s="22"/>
      <c r="D66" s="22"/>
      <c r="E66" s="22"/>
      <c r="F66" s="23"/>
      <c r="G66" s="112">
        <f>SUM(G67:G68)</f>
        <v>3200</v>
      </c>
      <c r="H66" s="113">
        <f t="shared" si="1"/>
        <v>4800</v>
      </c>
      <c r="I66" s="22">
        <f t="shared" ref="I66:M66" si="17">SUM(I67:I68)</f>
        <v>8000</v>
      </c>
      <c r="J66" s="22">
        <f t="shared" si="17"/>
        <v>8000</v>
      </c>
      <c r="K66" s="22">
        <f t="shared" si="17"/>
        <v>0</v>
      </c>
      <c r="L66" s="22">
        <f t="shared" si="17"/>
        <v>0</v>
      </c>
      <c r="M66" s="22">
        <f t="shared" si="17"/>
        <v>0</v>
      </c>
      <c r="N66" s="22"/>
      <c r="O66" s="22"/>
    </row>
    <row r="67" spans="1:15" ht="33" customHeight="1">
      <c r="A67" s="14">
        <v>30</v>
      </c>
      <c r="B67" s="24" t="s">
        <v>199</v>
      </c>
      <c r="C67" s="25" t="s">
        <v>19</v>
      </c>
      <c r="D67" s="26" t="s">
        <v>200</v>
      </c>
      <c r="E67" s="25" t="s">
        <v>43</v>
      </c>
      <c r="F67" s="27" t="s">
        <v>201</v>
      </c>
      <c r="G67" s="27"/>
      <c r="H67" s="30">
        <f t="shared" si="1"/>
        <v>4800</v>
      </c>
      <c r="I67" s="25">
        <f t="shared" si="12"/>
        <v>4800</v>
      </c>
      <c r="J67" s="25">
        <v>4800</v>
      </c>
      <c r="K67" s="25"/>
      <c r="L67" s="44"/>
      <c r="M67" s="44"/>
      <c r="N67" s="44" t="s">
        <v>58</v>
      </c>
      <c r="O67" s="44"/>
    </row>
    <row r="68" spans="1:15" ht="24" customHeight="1">
      <c r="A68" s="14">
        <v>31</v>
      </c>
      <c r="B68" s="24" t="s">
        <v>202</v>
      </c>
      <c r="C68" s="25" t="s">
        <v>62</v>
      </c>
      <c r="D68" s="25" t="s">
        <v>203</v>
      </c>
      <c r="E68" s="25" t="s">
        <v>140</v>
      </c>
      <c r="F68" s="27" t="s">
        <v>204</v>
      </c>
      <c r="G68" s="25">
        <v>3200</v>
      </c>
      <c r="H68" s="30">
        <f t="shared" si="1"/>
        <v>0</v>
      </c>
      <c r="I68" s="25">
        <f t="shared" si="12"/>
        <v>3200</v>
      </c>
      <c r="J68" s="25">
        <v>3200</v>
      </c>
      <c r="K68" s="25"/>
      <c r="L68" s="44"/>
      <c r="M68" s="44"/>
      <c r="N68" s="44" t="s">
        <v>58</v>
      </c>
      <c r="O68" s="44"/>
    </row>
    <row r="69" spans="1:15" ht="24" customHeight="1">
      <c r="A69" s="20" t="s">
        <v>205</v>
      </c>
      <c r="B69" s="21" t="s">
        <v>206</v>
      </c>
      <c r="C69" s="22"/>
      <c r="D69" s="22"/>
      <c r="E69" s="22"/>
      <c r="F69" s="23"/>
      <c r="G69" s="112">
        <f t="shared" ref="G69:M69" si="18">SUM(G70:G77)</f>
        <v>100000</v>
      </c>
      <c r="H69" s="113">
        <f t="shared" ref="H69:H83" si="19">I69-G69</f>
        <v>0</v>
      </c>
      <c r="I69" s="22">
        <f t="shared" si="18"/>
        <v>100000</v>
      </c>
      <c r="J69" s="22">
        <f t="shared" si="18"/>
        <v>17200</v>
      </c>
      <c r="K69" s="22">
        <f t="shared" si="18"/>
        <v>72800</v>
      </c>
      <c r="L69" s="22">
        <f t="shared" si="18"/>
        <v>0</v>
      </c>
      <c r="M69" s="22">
        <f t="shared" si="18"/>
        <v>10000</v>
      </c>
      <c r="N69" s="22"/>
      <c r="O69" s="22"/>
    </row>
    <row r="70" spans="1:15" ht="23.1" customHeight="1">
      <c r="A70" s="14">
        <v>32</v>
      </c>
      <c r="B70" s="24" t="s">
        <v>207</v>
      </c>
      <c r="C70" s="25" t="s">
        <v>19</v>
      </c>
      <c r="D70" s="25" t="s">
        <v>203</v>
      </c>
      <c r="E70" s="25" t="s">
        <v>43</v>
      </c>
      <c r="F70" s="27" t="s">
        <v>208</v>
      </c>
      <c r="G70" s="25">
        <f>I70</f>
        <v>40000</v>
      </c>
      <c r="H70" s="30">
        <f t="shared" si="19"/>
        <v>0</v>
      </c>
      <c r="I70" s="25">
        <f t="shared" si="12"/>
        <v>40000</v>
      </c>
      <c r="J70" s="25"/>
      <c r="K70" s="25">
        <v>30000</v>
      </c>
      <c r="L70" s="44"/>
      <c r="M70" s="44">
        <v>10000</v>
      </c>
      <c r="N70" s="44" t="s">
        <v>58</v>
      </c>
      <c r="O70" s="44"/>
    </row>
    <row r="71" spans="1:15" ht="23.1" customHeight="1">
      <c r="A71" s="14">
        <v>33</v>
      </c>
      <c r="B71" s="24" t="s">
        <v>209</v>
      </c>
      <c r="C71" s="25" t="s">
        <v>62</v>
      </c>
      <c r="D71" s="25" t="s">
        <v>210</v>
      </c>
      <c r="E71" s="25" t="s">
        <v>152</v>
      </c>
      <c r="F71" s="27" t="s">
        <v>211</v>
      </c>
      <c r="G71" s="25">
        <f t="shared" ref="G71:G77" si="20">I71</f>
        <v>1000</v>
      </c>
      <c r="H71" s="30">
        <f t="shared" si="19"/>
        <v>0</v>
      </c>
      <c r="I71" s="25">
        <f t="shared" si="12"/>
        <v>1000</v>
      </c>
      <c r="J71" s="25">
        <v>1000</v>
      </c>
      <c r="K71" s="25"/>
      <c r="L71" s="44"/>
      <c r="M71" s="44"/>
      <c r="N71" s="44" t="s">
        <v>58</v>
      </c>
      <c r="O71" s="44"/>
    </row>
    <row r="72" spans="1:15" ht="23.1" customHeight="1">
      <c r="A72" s="14">
        <v>34</v>
      </c>
      <c r="B72" s="24" t="s">
        <v>212</v>
      </c>
      <c r="C72" s="25" t="s">
        <v>62</v>
      </c>
      <c r="D72" s="25" t="s">
        <v>210</v>
      </c>
      <c r="E72" s="25" t="s">
        <v>136</v>
      </c>
      <c r="F72" s="27" t="s">
        <v>211</v>
      </c>
      <c r="G72" s="25">
        <f t="shared" si="20"/>
        <v>1000</v>
      </c>
      <c r="H72" s="30">
        <f t="shared" si="19"/>
        <v>0</v>
      </c>
      <c r="I72" s="25">
        <f t="shared" si="12"/>
        <v>1000</v>
      </c>
      <c r="J72" s="25">
        <v>1000</v>
      </c>
      <c r="K72" s="25"/>
      <c r="L72" s="44"/>
      <c r="M72" s="44"/>
      <c r="N72" s="44" t="s">
        <v>58</v>
      </c>
      <c r="O72" s="44"/>
    </row>
    <row r="73" spans="1:15" ht="23.1" customHeight="1">
      <c r="A73" s="14">
        <v>35</v>
      </c>
      <c r="B73" s="24" t="s">
        <v>213</v>
      </c>
      <c r="C73" s="25" t="s">
        <v>62</v>
      </c>
      <c r="D73" s="25" t="s">
        <v>210</v>
      </c>
      <c r="E73" s="25" t="s">
        <v>140</v>
      </c>
      <c r="F73" s="27" t="s">
        <v>211</v>
      </c>
      <c r="G73" s="25">
        <f t="shared" si="20"/>
        <v>1000</v>
      </c>
      <c r="H73" s="30">
        <f t="shared" si="19"/>
        <v>0</v>
      </c>
      <c r="I73" s="25">
        <f t="shared" si="12"/>
        <v>1000</v>
      </c>
      <c r="J73" s="25">
        <v>1000</v>
      </c>
      <c r="K73" s="25"/>
      <c r="L73" s="44"/>
      <c r="M73" s="44"/>
      <c r="N73" s="44" t="s">
        <v>58</v>
      </c>
      <c r="O73" s="44"/>
    </row>
    <row r="74" spans="1:15" ht="23.1" customHeight="1">
      <c r="A74" s="14">
        <v>36</v>
      </c>
      <c r="B74" s="24" t="s">
        <v>214</v>
      </c>
      <c r="C74" s="25" t="s">
        <v>62</v>
      </c>
      <c r="D74" s="25" t="s">
        <v>210</v>
      </c>
      <c r="E74" s="25" t="s">
        <v>132</v>
      </c>
      <c r="F74" s="27" t="s">
        <v>211</v>
      </c>
      <c r="G74" s="25">
        <f t="shared" si="20"/>
        <v>1000</v>
      </c>
      <c r="H74" s="30">
        <f t="shared" si="19"/>
        <v>0</v>
      </c>
      <c r="I74" s="25">
        <f t="shared" si="12"/>
        <v>1000</v>
      </c>
      <c r="J74" s="25">
        <v>1000</v>
      </c>
      <c r="K74" s="25"/>
      <c r="L74" s="44"/>
      <c r="M74" s="44"/>
      <c r="N74" s="44" t="s">
        <v>58</v>
      </c>
      <c r="O74" s="44"/>
    </row>
    <row r="75" spans="1:15" ht="23.1" customHeight="1">
      <c r="A75" s="14">
        <v>37</v>
      </c>
      <c r="B75" s="24" t="s">
        <v>215</v>
      </c>
      <c r="C75" s="25" t="s">
        <v>19</v>
      </c>
      <c r="D75" s="25" t="s">
        <v>203</v>
      </c>
      <c r="E75" s="44" t="s">
        <v>21</v>
      </c>
      <c r="F75" s="27" t="s">
        <v>216</v>
      </c>
      <c r="G75" s="25">
        <f t="shared" si="20"/>
        <v>20000</v>
      </c>
      <c r="H75" s="30">
        <f t="shared" si="19"/>
        <v>0</v>
      </c>
      <c r="I75" s="25">
        <f t="shared" si="12"/>
        <v>20000</v>
      </c>
      <c r="J75" s="25">
        <v>5000</v>
      </c>
      <c r="K75" s="25">
        <v>15000</v>
      </c>
      <c r="L75" s="44"/>
      <c r="M75" s="44"/>
      <c r="N75" s="44" t="s">
        <v>58</v>
      </c>
      <c r="O75" s="44"/>
    </row>
    <row r="76" spans="1:15" ht="23.1" customHeight="1">
      <c r="A76" s="14">
        <v>38</v>
      </c>
      <c r="B76" s="24" t="s">
        <v>217</v>
      </c>
      <c r="C76" s="25" t="s">
        <v>19</v>
      </c>
      <c r="D76" s="25" t="s">
        <v>203</v>
      </c>
      <c r="E76" s="44" t="s">
        <v>218</v>
      </c>
      <c r="F76" s="27" t="s">
        <v>219</v>
      </c>
      <c r="G76" s="25">
        <f t="shared" si="20"/>
        <v>20000</v>
      </c>
      <c r="H76" s="30">
        <f t="shared" si="19"/>
        <v>0</v>
      </c>
      <c r="I76" s="25">
        <f t="shared" si="12"/>
        <v>20000</v>
      </c>
      <c r="J76" s="25">
        <v>5000</v>
      </c>
      <c r="K76" s="25">
        <v>15000</v>
      </c>
      <c r="L76" s="44"/>
      <c r="M76" s="44"/>
      <c r="N76" s="44" t="s">
        <v>58</v>
      </c>
      <c r="O76" s="44"/>
    </row>
    <row r="77" spans="1:15" ht="23.1" customHeight="1">
      <c r="A77" s="14">
        <v>39</v>
      </c>
      <c r="B77" s="24" t="s">
        <v>220</v>
      </c>
      <c r="C77" s="25" t="s">
        <v>19</v>
      </c>
      <c r="D77" s="25" t="s">
        <v>221</v>
      </c>
      <c r="E77" s="44" t="s">
        <v>21</v>
      </c>
      <c r="F77" s="27" t="s">
        <v>222</v>
      </c>
      <c r="G77" s="25">
        <f t="shared" si="20"/>
        <v>16000</v>
      </c>
      <c r="H77" s="30">
        <f t="shared" si="19"/>
        <v>0</v>
      </c>
      <c r="I77" s="25">
        <f t="shared" si="12"/>
        <v>16000</v>
      </c>
      <c r="J77" s="25">
        <v>3200</v>
      </c>
      <c r="K77" s="25">
        <v>12800</v>
      </c>
      <c r="L77" s="51"/>
      <c r="M77" s="51"/>
      <c r="N77" s="44" t="s">
        <v>58</v>
      </c>
      <c r="O77" s="44"/>
    </row>
    <row r="78" spans="1:15" ht="24" customHeight="1">
      <c r="A78" s="20" t="s">
        <v>223</v>
      </c>
      <c r="B78" s="37" t="s">
        <v>224</v>
      </c>
      <c r="C78" s="22"/>
      <c r="D78" s="21"/>
      <c r="E78" s="22"/>
      <c r="F78" s="21"/>
      <c r="G78" s="112">
        <f>SUM(G79:G81)</f>
        <v>44000</v>
      </c>
      <c r="H78" s="113">
        <f t="shared" si="19"/>
        <v>30000</v>
      </c>
      <c r="I78" s="22">
        <f t="shared" ref="I78:M78" si="21">SUM(I79:I81)</f>
        <v>74000</v>
      </c>
      <c r="J78" s="22">
        <f t="shared" si="21"/>
        <v>14000</v>
      </c>
      <c r="K78" s="22">
        <f t="shared" si="21"/>
        <v>50000</v>
      </c>
      <c r="L78" s="22">
        <f t="shared" si="21"/>
        <v>10000</v>
      </c>
      <c r="M78" s="22">
        <f t="shared" si="21"/>
        <v>0</v>
      </c>
      <c r="N78" s="21"/>
      <c r="O78" s="22"/>
    </row>
    <row r="79" spans="1:15" ht="24" customHeight="1">
      <c r="A79" s="14">
        <v>40</v>
      </c>
      <c r="B79" s="36" t="s">
        <v>225</v>
      </c>
      <c r="C79" s="44" t="s">
        <v>19</v>
      </c>
      <c r="D79" s="55" t="s">
        <v>42</v>
      </c>
      <c r="E79" s="44" t="s">
        <v>21</v>
      </c>
      <c r="F79" s="52" t="s">
        <v>226</v>
      </c>
      <c r="G79" s="25">
        <v>20000</v>
      </c>
      <c r="H79" s="30">
        <f t="shared" si="19"/>
        <v>30000</v>
      </c>
      <c r="I79" s="25">
        <f t="shared" si="12"/>
        <v>50000</v>
      </c>
      <c r="J79" s="44">
        <v>5000</v>
      </c>
      <c r="K79" s="62">
        <v>40000</v>
      </c>
      <c r="L79" s="62">
        <v>5000</v>
      </c>
      <c r="M79" s="62"/>
      <c r="N79" s="44" t="s">
        <v>58</v>
      </c>
      <c r="O79" s="44"/>
    </row>
    <row r="80" spans="1:15" ht="24" customHeight="1">
      <c r="A80" s="14">
        <v>41</v>
      </c>
      <c r="B80" s="36" t="s">
        <v>227</v>
      </c>
      <c r="C80" s="44" t="s">
        <v>19</v>
      </c>
      <c r="D80" s="44" t="s">
        <v>42</v>
      </c>
      <c r="E80" s="44" t="s">
        <v>21</v>
      </c>
      <c r="F80" s="52" t="s">
        <v>227</v>
      </c>
      <c r="G80" s="25">
        <v>20000</v>
      </c>
      <c r="H80" s="30">
        <f t="shared" si="19"/>
        <v>0</v>
      </c>
      <c r="I80" s="25">
        <f t="shared" si="12"/>
        <v>20000</v>
      </c>
      <c r="J80" s="62">
        <v>5000</v>
      </c>
      <c r="K80" s="44">
        <v>10000</v>
      </c>
      <c r="L80" s="44">
        <v>5000</v>
      </c>
      <c r="M80" s="51"/>
      <c r="N80" s="44" t="s">
        <v>58</v>
      </c>
      <c r="O80" s="63"/>
    </row>
    <row r="81" spans="1:15" ht="24" customHeight="1">
      <c r="A81" s="14">
        <v>42</v>
      </c>
      <c r="B81" s="36" t="s">
        <v>228</v>
      </c>
      <c r="C81" s="44" t="s">
        <v>62</v>
      </c>
      <c r="D81" s="44" t="s">
        <v>203</v>
      </c>
      <c r="E81" s="44" t="s">
        <v>21</v>
      </c>
      <c r="F81" s="52" t="s">
        <v>229</v>
      </c>
      <c r="G81" s="25">
        <v>4000</v>
      </c>
      <c r="H81" s="30">
        <f t="shared" si="19"/>
        <v>0</v>
      </c>
      <c r="I81" s="25">
        <f t="shared" si="12"/>
        <v>4000</v>
      </c>
      <c r="J81" s="44">
        <v>4000</v>
      </c>
      <c r="K81" s="51"/>
      <c r="L81" s="51"/>
      <c r="M81" s="51"/>
      <c r="N81" s="44" t="s">
        <v>58</v>
      </c>
      <c r="O81" s="63"/>
    </row>
    <row r="82" spans="1:15" ht="24" customHeight="1">
      <c r="A82" s="20" t="s">
        <v>230</v>
      </c>
      <c r="B82" s="21" t="s">
        <v>231</v>
      </c>
      <c r="C82" s="56"/>
      <c r="D82" s="57"/>
      <c r="E82" s="56"/>
      <c r="F82" s="58"/>
      <c r="G82" s="115">
        <f>SUM(G83)</f>
        <v>1000</v>
      </c>
      <c r="H82" s="113">
        <f t="shared" si="19"/>
        <v>0</v>
      </c>
      <c r="I82" s="59">
        <f t="shared" ref="I82:M82" si="22">SUM(I83:I83)</f>
        <v>1000</v>
      </c>
      <c r="J82" s="59">
        <f t="shared" si="22"/>
        <v>1000</v>
      </c>
      <c r="K82" s="59">
        <f t="shared" si="22"/>
        <v>0</v>
      </c>
      <c r="L82" s="59">
        <f t="shared" si="22"/>
        <v>0</v>
      </c>
      <c r="M82" s="59">
        <f t="shared" si="22"/>
        <v>0</v>
      </c>
      <c r="N82" s="38"/>
      <c r="O82" s="56"/>
    </row>
    <row r="83" spans="1:15" ht="24" customHeight="1">
      <c r="A83" s="14">
        <v>43</v>
      </c>
      <c r="B83" s="60" t="s">
        <v>232</v>
      </c>
      <c r="C83" s="61"/>
      <c r="D83" s="44" t="s">
        <v>233</v>
      </c>
      <c r="E83" s="14"/>
      <c r="F83" s="52" t="s">
        <v>234</v>
      </c>
      <c r="G83" s="25">
        <v>1000</v>
      </c>
      <c r="H83" s="30">
        <f t="shared" si="19"/>
        <v>0</v>
      </c>
      <c r="I83" s="25">
        <f t="shared" si="12"/>
        <v>1000</v>
      </c>
      <c r="J83" s="44">
        <v>1000</v>
      </c>
      <c r="K83" s="61"/>
      <c r="L83" s="61"/>
      <c r="M83" s="61"/>
      <c r="N83" s="44" t="s">
        <v>58</v>
      </c>
      <c r="O83" s="61"/>
    </row>
  </sheetData>
  <mergeCells count="13">
    <mergeCell ref="A1:O1"/>
    <mergeCell ref="J2:M2"/>
    <mergeCell ref="A2:A3"/>
    <mergeCell ref="B2:B3"/>
    <mergeCell ref="C2:C3"/>
    <mergeCell ref="D2:D3"/>
    <mergeCell ref="E2:E3"/>
    <mergeCell ref="F2:F3"/>
    <mergeCell ref="G2:G3"/>
    <mergeCell ref="I2:I3"/>
    <mergeCell ref="N2:N3"/>
    <mergeCell ref="O2:O3"/>
    <mergeCell ref="H2:H3"/>
  </mergeCells>
  <phoneticPr fontId="6" type="noConversion"/>
  <printOptions horizontalCentered="1" verticalCentered="1"/>
  <pageMargins left="0.31496062992125984" right="0.31496062992125984" top="0.55118110236220474" bottom="0.55118110236220474" header="0.11811023622047245" footer="0.11811023622047245"/>
  <pageSetup paperSize="9" scale="95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2"/>
  <sheetViews>
    <sheetView workbookViewId="0">
      <selection activeCell="H13" sqref="H13"/>
    </sheetView>
  </sheetViews>
  <sheetFormatPr defaultColWidth="9" defaultRowHeight="13.5"/>
  <cols>
    <col min="1" max="1" width="5.125" customWidth="1"/>
    <col min="2" max="2" width="19" customWidth="1"/>
    <col min="3" max="3" width="6.125" customWidth="1"/>
    <col min="6" max="6" width="24.875" customWidth="1"/>
    <col min="7" max="7" width="10.625" customWidth="1"/>
    <col min="8" max="8" width="9.625" customWidth="1"/>
    <col min="9" max="9" width="6.75" customWidth="1"/>
    <col min="10" max="10" width="10.25" customWidth="1"/>
    <col min="11" max="11" width="5" customWidth="1"/>
  </cols>
  <sheetData>
    <row r="1" spans="1:13" ht="38.1" customHeight="1">
      <c r="A1" s="108" t="s">
        <v>235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21.95" customHeight="1">
      <c r="A2" s="110" t="s">
        <v>0</v>
      </c>
      <c r="B2" s="110" t="s">
        <v>1</v>
      </c>
      <c r="C2" s="111" t="s">
        <v>2</v>
      </c>
      <c r="D2" s="111" t="s">
        <v>3</v>
      </c>
      <c r="E2" s="110" t="s">
        <v>4</v>
      </c>
      <c r="F2" s="110" t="s">
        <v>5</v>
      </c>
      <c r="G2" s="111" t="s">
        <v>6</v>
      </c>
      <c r="H2" s="110" t="s">
        <v>7</v>
      </c>
      <c r="I2" s="110"/>
      <c r="J2" s="110"/>
      <c r="K2" s="110"/>
      <c r="L2" s="110" t="s">
        <v>8</v>
      </c>
      <c r="M2" s="110" t="s">
        <v>9</v>
      </c>
    </row>
    <row r="3" spans="1:13" ht="18.95" customHeight="1">
      <c r="A3" s="110"/>
      <c r="B3" s="110"/>
      <c r="C3" s="110"/>
      <c r="D3" s="110"/>
      <c r="E3" s="110"/>
      <c r="F3" s="110"/>
      <c r="G3" s="110"/>
      <c r="H3" s="64" t="s">
        <v>10</v>
      </c>
      <c r="I3" s="64" t="s">
        <v>11</v>
      </c>
      <c r="J3" s="64" t="s">
        <v>12</v>
      </c>
      <c r="K3" s="64" t="s">
        <v>13</v>
      </c>
      <c r="L3" s="110"/>
      <c r="M3" s="110"/>
    </row>
    <row r="4" spans="1:13" ht="30" customHeight="1">
      <c r="A4" s="65" t="s">
        <v>14</v>
      </c>
      <c r="B4" s="66" t="s">
        <v>236</v>
      </c>
      <c r="C4" s="67"/>
      <c r="D4" s="67"/>
      <c r="E4" s="67"/>
      <c r="F4" s="68"/>
      <c r="G4" s="69" t="e">
        <f>G5+#REF!+G7+G11+G13+G22+G25+G27+G29+G32+G36+G40</f>
        <v>#REF!</v>
      </c>
      <c r="H4" s="69" t="e">
        <f>H5+#REF!+H7+H11+H13+H22+H25+H27+H29+H32+H36+H40</f>
        <v>#REF!</v>
      </c>
      <c r="I4" s="84"/>
      <c r="J4" s="84"/>
      <c r="K4" s="84"/>
      <c r="L4" s="85"/>
      <c r="M4" s="85"/>
    </row>
    <row r="5" spans="1:13" ht="15.75" hidden="1" customHeight="1">
      <c r="A5" s="65" t="s">
        <v>16</v>
      </c>
      <c r="B5" s="66" t="s">
        <v>237</v>
      </c>
      <c r="C5" s="67"/>
      <c r="D5" s="67"/>
      <c r="E5" s="67"/>
      <c r="F5" s="68"/>
      <c r="G5" s="67" t="e">
        <f>SUM(G6)</f>
        <v>#REF!</v>
      </c>
      <c r="H5" s="67" t="e">
        <f>SUM(H6)</f>
        <v>#REF!</v>
      </c>
      <c r="I5" s="86"/>
      <c r="J5" s="86"/>
      <c r="K5" s="86"/>
      <c r="L5" s="86"/>
      <c r="M5" s="86"/>
    </row>
    <row r="6" spans="1:13" ht="39" hidden="1" customHeight="1">
      <c r="A6" s="65">
        <v>1</v>
      </c>
      <c r="B6" s="70" t="s">
        <v>18</v>
      </c>
      <c r="C6" s="71" t="s">
        <v>19</v>
      </c>
      <c r="D6" s="71" t="s">
        <v>238</v>
      </c>
      <c r="E6" s="71" t="s">
        <v>239</v>
      </c>
      <c r="F6" s="72" t="s">
        <v>240</v>
      </c>
      <c r="G6" s="71" t="e">
        <f>#REF!-十四五及中长期!I6</f>
        <v>#REF!</v>
      </c>
      <c r="H6" s="71" t="e">
        <f>#REF!-十四五及中长期!J6</f>
        <v>#REF!</v>
      </c>
      <c r="I6" s="86"/>
      <c r="J6" s="86"/>
      <c r="K6" s="86"/>
      <c r="L6" s="71" t="s">
        <v>23</v>
      </c>
      <c r="M6" s="86"/>
    </row>
    <row r="7" spans="1:13" ht="27" hidden="1" customHeight="1">
      <c r="A7" s="65" t="s">
        <v>45</v>
      </c>
      <c r="B7" s="66" t="s">
        <v>46</v>
      </c>
      <c r="C7" s="67"/>
      <c r="D7" s="67"/>
      <c r="E7" s="67"/>
      <c r="F7" s="68"/>
      <c r="G7" s="69" t="e">
        <f>SUM(G8:G10)</f>
        <v>#REF!</v>
      </c>
      <c r="H7" s="69" t="e">
        <f>SUM(H8:H10)</f>
        <v>#REF!</v>
      </c>
      <c r="I7" s="85"/>
      <c r="J7" s="85"/>
      <c r="K7" s="85"/>
      <c r="L7" s="85"/>
      <c r="M7" s="85"/>
    </row>
    <row r="8" spans="1:13" ht="30.95" hidden="1" customHeight="1">
      <c r="A8" s="65">
        <v>5</v>
      </c>
      <c r="B8" s="70" t="s">
        <v>241</v>
      </c>
      <c r="C8" s="71" t="s">
        <v>19</v>
      </c>
      <c r="D8" s="71" t="s">
        <v>125</v>
      </c>
      <c r="E8" s="71" t="s">
        <v>242</v>
      </c>
      <c r="F8" s="72" t="s">
        <v>243</v>
      </c>
      <c r="G8" s="71" t="e">
        <f>#REF!-十四五及中长期!I15</f>
        <v>#REF!</v>
      </c>
      <c r="H8" s="71" t="e">
        <f>#REF!-十四五及中长期!J15</f>
        <v>#REF!</v>
      </c>
      <c r="I8" s="71"/>
      <c r="J8" s="71"/>
      <c r="K8" s="71"/>
      <c r="L8" s="71" t="s">
        <v>244</v>
      </c>
      <c r="M8" s="71"/>
    </row>
    <row r="9" spans="1:13" ht="30.95" hidden="1" customHeight="1">
      <c r="A9" s="65">
        <v>6</v>
      </c>
      <c r="B9" s="70" t="s">
        <v>245</v>
      </c>
      <c r="C9" s="71" t="s">
        <v>19</v>
      </c>
      <c r="D9" s="71" t="s">
        <v>246</v>
      </c>
      <c r="E9" s="71" t="s">
        <v>21</v>
      </c>
      <c r="F9" s="72" t="s">
        <v>247</v>
      </c>
      <c r="G9" s="71" t="e">
        <f>#REF!-十四五及中长期!#REF!</f>
        <v>#REF!</v>
      </c>
      <c r="H9" s="71" t="e">
        <f>#REF!-十四五及中长期!#REF!</f>
        <v>#REF!</v>
      </c>
      <c r="I9" s="71"/>
      <c r="J9" s="71"/>
      <c r="K9" s="71"/>
      <c r="L9" s="71" t="s">
        <v>58</v>
      </c>
      <c r="M9" s="71"/>
    </row>
    <row r="10" spans="1:13" ht="30.95" hidden="1" customHeight="1">
      <c r="A10" s="65">
        <v>7</v>
      </c>
      <c r="B10" s="70" t="s">
        <v>248</v>
      </c>
      <c r="C10" s="71" t="s">
        <v>19</v>
      </c>
      <c r="D10" s="71">
        <v>2021</v>
      </c>
      <c r="E10" s="71" t="s">
        <v>21</v>
      </c>
      <c r="F10" s="73" t="s">
        <v>249</v>
      </c>
      <c r="G10" s="71" t="e">
        <f>#REF!-十四五及中长期!I16</f>
        <v>#REF!</v>
      </c>
      <c r="H10" s="71" t="e">
        <f>#REF!-十四五及中长期!J16</f>
        <v>#REF!</v>
      </c>
      <c r="I10" s="71"/>
      <c r="J10" s="71"/>
      <c r="K10" s="71"/>
      <c r="L10" s="71"/>
      <c r="M10" s="71"/>
    </row>
    <row r="11" spans="1:13" ht="27" hidden="1" customHeight="1">
      <c r="A11" s="65" t="s">
        <v>59</v>
      </c>
      <c r="B11" s="66" t="s">
        <v>60</v>
      </c>
      <c r="C11" s="71"/>
      <c r="D11" s="71"/>
      <c r="E11" s="71"/>
      <c r="F11" s="74"/>
      <c r="G11" s="67" t="e">
        <f>SUM(G12)</f>
        <v>#REF!</v>
      </c>
      <c r="H11" s="67" t="e">
        <f>SUM(H12)</f>
        <v>#REF!</v>
      </c>
      <c r="I11" s="71"/>
      <c r="J11" s="71"/>
      <c r="K11" s="71"/>
      <c r="L11" s="71"/>
      <c r="M11" s="71"/>
    </row>
    <row r="12" spans="1:13" ht="27" hidden="1" customHeight="1">
      <c r="A12" s="65">
        <v>8</v>
      </c>
      <c r="B12" s="70" t="s">
        <v>250</v>
      </c>
      <c r="C12" s="71" t="s">
        <v>62</v>
      </c>
      <c r="D12" s="71" t="s">
        <v>51</v>
      </c>
      <c r="E12" s="71" t="s">
        <v>21</v>
      </c>
      <c r="F12" s="71" t="s">
        <v>63</v>
      </c>
      <c r="G12" s="71" t="e">
        <f>#REF!-十四五及中长期!I19</f>
        <v>#REF!</v>
      </c>
      <c r="H12" s="71" t="e">
        <f>#REF!-十四五及中长期!J19</f>
        <v>#REF!</v>
      </c>
      <c r="I12" s="71"/>
      <c r="J12" s="71"/>
      <c r="K12" s="71"/>
      <c r="L12" s="71"/>
      <c r="M12" s="71"/>
    </row>
    <row r="13" spans="1:13" ht="30" customHeight="1">
      <c r="A13" s="65" t="s">
        <v>64</v>
      </c>
      <c r="B13" s="66" t="s">
        <v>69</v>
      </c>
      <c r="C13" s="67"/>
      <c r="D13" s="67"/>
      <c r="E13" s="67"/>
      <c r="F13" s="68"/>
      <c r="G13" s="67" t="e">
        <f>SUM(G14:G21)</f>
        <v>#REF!</v>
      </c>
      <c r="H13" s="67" t="e">
        <f>SUM(H14:H21)</f>
        <v>#REF!</v>
      </c>
      <c r="I13" s="85"/>
      <c r="J13" s="85"/>
      <c r="K13" s="85"/>
      <c r="L13" s="85"/>
      <c r="M13" s="85"/>
    </row>
    <row r="14" spans="1:13" ht="30" hidden="1" customHeight="1">
      <c r="A14" s="65">
        <v>9</v>
      </c>
      <c r="B14" s="70" t="s">
        <v>251</v>
      </c>
      <c r="C14" s="71" t="s">
        <v>19</v>
      </c>
      <c r="D14" s="71" t="s">
        <v>125</v>
      </c>
      <c r="E14" s="71" t="s">
        <v>239</v>
      </c>
      <c r="F14" s="72" t="s">
        <v>252</v>
      </c>
      <c r="G14" s="71" t="e">
        <f>#REF!-十四五及中长期!I23</f>
        <v>#REF!</v>
      </c>
      <c r="H14" s="71" t="e">
        <f>#REF!-十四五及中长期!J23</f>
        <v>#REF!</v>
      </c>
      <c r="I14" s="71"/>
      <c r="J14" s="71"/>
      <c r="K14" s="71"/>
      <c r="L14" s="71" t="s">
        <v>58</v>
      </c>
      <c r="M14" s="71"/>
    </row>
    <row r="15" spans="1:13" ht="41.25" customHeight="1">
      <c r="A15" s="65">
        <v>1</v>
      </c>
      <c r="B15" s="70" t="s">
        <v>251</v>
      </c>
      <c r="C15" s="71" t="s">
        <v>19</v>
      </c>
      <c r="D15" s="71" t="s">
        <v>125</v>
      </c>
      <c r="E15" s="71" t="s">
        <v>239</v>
      </c>
      <c r="F15" s="72" t="s">
        <v>252</v>
      </c>
      <c r="G15" s="71">
        <v>404000</v>
      </c>
      <c r="H15" s="71">
        <v>404000</v>
      </c>
      <c r="I15" s="71"/>
      <c r="J15" s="71"/>
      <c r="K15" s="71"/>
      <c r="L15" s="71" t="s">
        <v>58</v>
      </c>
      <c r="M15" s="71"/>
    </row>
    <row r="16" spans="1:13" ht="24" customHeight="1">
      <c r="A16" s="65">
        <v>2</v>
      </c>
      <c r="B16" s="70" t="s">
        <v>253</v>
      </c>
      <c r="C16" s="71" t="s">
        <v>19</v>
      </c>
      <c r="D16" s="75" t="s">
        <v>254</v>
      </c>
      <c r="E16" s="71" t="s">
        <v>78</v>
      </c>
      <c r="F16" s="72" t="s">
        <v>79</v>
      </c>
      <c r="G16" s="71" t="e">
        <f>#REF!*0.8</f>
        <v>#REF!</v>
      </c>
      <c r="H16" s="71" t="e">
        <f>#REF!*0.8</f>
        <v>#REF!</v>
      </c>
      <c r="I16" s="71"/>
      <c r="J16" s="71"/>
      <c r="K16" s="71"/>
      <c r="L16" s="71" t="s">
        <v>58</v>
      </c>
      <c r="M16" s="71"/>
    </row>
    <row r="17" spans="1:13" ht="27.75" customHeight="1">
      <c r="A17" s="65">
        <v>3</v>
      </c>
      <c r="B17" s="70" t="s">
        <v>255</v>
      </c>
      <c r="C17" s="71" t="s">
        <v>62</v>
      </c>
      <c r="D17" s="71" t="s">
        <v>51</v>
      </c>
      <c r="E17" s="71" t="s">
        <v>75</v>
      </c>
      <c r="F17" s="72" t="s">
        <v>76</v>
      </c>
      <c r="G17" s="71">
        <v>444000</v>
      </c>
      <c r="H17" s="71">
        <v>444000</v>
      </c>
      <c r="I17" s="71"/>
      <c r="J17" s="71"/>
      <c r="K17" s="71"/>
      <c r="L17" s="71" t="s">
        <v>58</v>
      </c>
      <c r="M17" s="71"/>
    </row>
    <row r="18" spans="1:13" ht="27" customHeight="1">
      <c r="A18" s="65">
        <v>4</v>
      </c>
      <c r="B18" s="70" t="s">
        <v>256</v>
      </c>
      <c r="C18" s="71" t="s">
        <v>19</v>
      </c>
      <c r="D18" s="71" t="s">
        <v>51</v>
      </c>
      <c r="E18" s="71" t="s">
        <v>257</v>
      </c>
      <c r="F18" s="72" t="s">
        <v>258</v>
      </c>
      <c r="G18" s="71">
        <v>480000</v>
      </c>
      <c r="H18" s="71">
        <v>480000</v>
      </c>
      <c r="I18" s="71"/>
      <c r="J18" s="71"/>
      <c r="K18" s="71"/>
      <c r="L18" s="71" t="s">
        <v>58</v>
      </c>
      <c r="M18" s="71"/>
    </row>
    <row r="19" spans="1:13" ht="27" customHeight="1">
      <c r="A19" s="65">
        <v>5</v>
      </c>
      <c r="B19" s="76" t="s">
        <v>259</v>
      </c>
      <c r="C19" s="71" t="s">
        <v>19</v>
      </c>
      <c r="D19" s="75" t="s">
        <v>260</v>
      </c>
      <c r="E19" s="71" t="s">
        <v>82</v>
      </c>
      <c r="F19" s="72" t="s">
        <v>83</v>
      </c>
      <c r="G19" s="71" t="e">
        <f>#REF!*0.5</f>
        <v>#REF!</v>
      </c>
      <c r="H19" s="71" t="e">
        <f>#REF!*0.5</f>
        <v>#REF!</v>
      </c>
      <c r="I19" s="71"/>
      <c r="J19" s="71"/>
      <c r="K19" s="71"/>
      <c r="L19" s="71" t="s">
        <v>58</v>
      </c>
      <c r="M19" s="71"/>
    </row>
    <row r="20" spans="1:13" ht="25.5" customHeight="1">
      <c r="A20" s="65">
        <v>6</v>
      </c>
      <c r="B20" s="76" t="s">
        <v>261</v>
      </c>
      <c r="C20" s="71" t="s">
        <v>19</v>
      </c>
      <c r="D20" s="71" t="s">
        <v>262</v>
      </c>
      <c r="E20" s="71" t="s">
        <v>86</v>
      </c>
      <c r="F20" s="72" t="s">
        <v>87</v>
      </c>
      <c r="G20" s="71">
        <v>284000</v>
      </c>
      <c r="H20" s="71">
        <v>284000</v>
      </c>
      <c r="I20" s="71"/>
      <c r="J20" s="71"/>
      <c r="K20" s="71"/>
      <c r="L20" s="71" t="s">
        <v>58</v>
      </c>
      <c r="M20" s="71"/>
    </row>
    <row r="21" spans="1:13" ht="21" hidden="1">
      <c r="A21" s="65">
        <v>14</v>
      </c>
      <c r="B21" s="76" t="s">
        <v>261</v>
      </c>
      <c r="C21" s="71" t="s">
        <v>19</v>
      </c>
      <c r="D21" s="71" t="s">
        <v>262</v>
      </c>
      <c r="E21" s="71" t="s">
        <v>86</v>
      </c>
      <c r="F21" s="72" t="s">
        <v>87</v>
      </c>
      <c r="G21" s="71" t="e">
        <f>#REF!-十四五及中长期!I27</f>
        <v>#REF!</v>
      </c>
      <c r="H21" s="71" t="e">
        <f>#REF!-十四五及中长期!J27</f>
        <v>#REF!</v>
      </c>
      <c r="I21" s="71"/>
      <c r="J21" s="71"/>
      <c r="K21" s="71"/>
      <c r="L21" s="71" t="s">
        <v>58</v>
      </c>
      <c r="M21" s="71"/>
    </row>
    <row r="22" spans="1:13" hidden="1">
      <c r="A22" s="65" t="s">
        <v>68</v>
      </c>
      <c r="B22" s="77" t="s">
        <v>89</v>
      </c>
      <c r="C22" s="71"/>
      <c r="D22" s="70"/>
      <c r="E22" s="71"/>
      <c r="F22" s="70"/>
      <c r="G22" s="67" t="e">
        <f>SUM(G23:G24)</f>
        <v>#REF!</v>
      </c>
      <c r="H22" s="67" t="e">
        <f>SUM(H23:H24)</f>
        <v>#REF!</v>
      </c>
      <c r="I22" s="85"/>
      <c r="J22" s="85"/>
      <c r="K22" s="85"/>
      <c r="L22" s="87"/>
      <c r="M22" s="86"/>
    </row>
    <row r="23" spans="1:13" ht="31.5" hidden="1">
      <c r="A23" s="65">
        <v>15</v>
      </c>
      <c r="B23" s="70" t="s">
        <v>263</v>
      </c>
      <c r="C23" s="71" t="s">
        <v>62</v>
      </c>
      <c r="D23" s="71" t="s">
        <v>111</v>
      </c>
      <c r="E23" s="71" t="s">
        <v>21</v>
      </c>
      <c r="F23" s="72" t="s">
        <v>264</v>
      </c>
      <c r="G23" s="71" t="e">
        <f>#REF!-十四五及中长期!I30</f>
        <v>#REF!</v>
      </c>
      <c r="H23" s="71" t="e">
        <f>#REF!-十四五及中长期!J30</f>
        <v>#REF!</v>
      </c>
      <c r="I23" s="85"/>
      <c r="J23" s="85"/>
      <c r="K23" s="85"/>
      <c r="L23" s="71" t="s">
        <v>58</v>
      </c>
      <c r="M23" s="86"/>
    </row>
    <row r="24" spans="1:13" ht="27" hidden="1" customHeight="1">
      <c r="A24" s="65">
        <v>16</v>
      </c>
      <c r="B24" s="78" t="s">
        <v>265</v>
      </c>
      <c r="C24" s="79" t="s">
        <v>119</v>
      </c>
      <c r="D24" s="71" t="s">
        <v>125</v>
      </c>
      <c r="E24" s="80" t="s">
        <v>100</v>
      </c>
      <c r="F24" s="70" t="s">
        <v>266</v>
      </c>
      <c r="G24" s="71" t="e">
        <f>#REF!-十四五及中长期!I32</f>
        <v>#REF!</v>
      </c>
      <c r="H24" s="71" t="e">
        <f>#REF!-十四五及中长期!J32</f>
        <v>#REF!</v>
      </c>
      <c r="I24" s="87"/>
      <c r="J24" s="87"/>
      <c r="K24" s="87"/>
      <c r="L24" s="71" t="s">
        <v>58</v>
      </c>
      <c r="M24" s="86"/>
    </row>
    <row r="25" spans="1:13" hidden="1">
      <c r="A25" s="65" t="s">
        <v>88</v>
      </c>
      <c r="B25" s="77" t="s">
        <v>117</v>
      </c>
      <c r="C25" s="71"/>
      <c r="D25" s="70"/>
      <c r="E25" s="71"/>
      <c r="F25" s="70"/>
      <c r="G25" s="67">
        <f>SUM(G26)</f>
        <v>0</v>
      </c>
      <c r="H25" s="67">
        <f>SUM(H26)</f>
        <v>0</v>
      </c>
      <c r="I25" s="85"/>
      <c r="J25" s="85"/>
      <c r="K25" s="85"/>
      <c r="L25" s="71"/>
      <c r="M25" s="86"/>
    </row>
    <row r="26" spans="1:13" ht="21" hidden="1">
      <c r="A26" s="65">
        <v>17</v>
      </c>
      <c r="B26" s="78" t="s">
        <v>117</v>
      </c>
      <c r="C26" s="70" t="s">
        <v>119</v>
      </c>
      <c r="D26" s="71" t="s">
        <v>125</v>
      </c>
      <c r="E26" s="71" t="s">
        <v>267</v>
      </c>
      <c r="F26" s="70" t="s">
        <v>268</v>
      </c>
      <c r="G26" s="71">
        <v>0</v>
      </c>
      <c r="H26" s="71">
        <v>0</v>
      </c>
      <c r="I26" s="70"/>
      <c r="J26" s="70"/>
      <c r="K26" s="70"/>
      <c r="L26" s="71" t="s">
        <v>58</v>
      </c>
      <c r="M26" s="71"/>
    </row>
    <row r="27" spans="1:13" hidden="1">
      <c r="A27" s="65" t="s">
        <v>116</v>
      </c>
      <c r="B27" s="77" t="s">
        <v>123</v>
      </c>
      <c r="C27" s="71"/>
      <c r="D27" s="70"/>
      <c r="E27" s="71"/>
      <c r="F27" s="70"/>
      <c r="G27" s="67" t="e">
        <f>SUM(G28)</f>
        <v>#REF!</v>
      </c>
      <c r="H27" s="67" t="e">
        <f>SUM(H28)</f>
        <v>#REF!</v>
      </c>
      <c r="I27" s="85"/>
      <c r="J27" s="85"/>
      <c r="K27" s="85"/>
      <c r="L27" s="87"/>
      <c r="M27" s="86"/>
    </row>
    <row r="28" spans="1:13" ht="21" hidden="1">
      <c r="A28" s="65">
        <v>18</v>
      </c>
      <c r="B28" s="78" t="s">
        <v>269</v>
      </c>
      <c r="C28" s="79" t="s">
        <v>62</v>
      </c>
      <c r="D28" s="71" t="s">
        <v>125</v>
      </c>
      <c r="E28" s="79" t="s">
        <v>267</v>
      </c>
      <c r="F28" s="79" t="s">
        <v>270</v>
      </c>
      <c r="G28" s="71" t="e">
        <f>#REF!-十四五及中长期!I40</f>
        <v>#REF!</v>
      </c>
      <c r="H28" s="71" t="e">
        <f>#REF!-十四五及中长期!J40</f>
        <v>#REF!</v>
      </c>
      <c r="I28" s="70"/>
      <c r="J28" s="70"/>
      <c r="K28" s="70"/>
      <c r="L28" s="71" t="s">
        <v>58</v>
      </c>
      <c r="M28" s="71"/>
    </row>
    <row r="29" spans="1:13" ht="21" customHeight="1">
      <c r="A29" s="65" t="s">
        <v>122</v>
      </c>
      <c r="B29" s="66" t="s">
        <v>198</v>
      </c>
      <c r="C29" s="67"/>
      <c r="D29" s="67"/>
      <c r="E29" s="67"/>
      <c r="F29" s="68"/>
      <c r="G29" s="67" t="e">
        <f>SUM(G30:G31)</f>
        <v>#REF!</v>
      </c>
      <c r="H29" s="67" t="e">
        <f>SUM(H30:H31)</f>
        <v>#REF!</v>
      </c>
      <c r="I29" s="85"/>
      <c r="J29" s="85"/>
      <c r="K29" s="85"/>
      <c r="L29" s="85"/>
      <c r="M29" s="85"/>
    </row>
    <row r="30" spans="1:13" ht="31.5" hidden="1">
      <c r="A30" s="65">
        <v>19</v>
      </c>
      <c r="B30" s="70" t="s">
        <v>199</v>
      </c>
      <c r="C30" s="71" t="s">
        <v>19</v>
      </c>
      <c r="D30" s="71" t="s">
        <v>125</v>
      </c>
      <c r="E30" s="71" t="s">
        <v>43</v>
      </c>
      <c r="F30" s="72" t="s">
        <v>271</v>
      </c>
      <c r="G30" s="71" t="e">
        <f>#REF!-十四五及中长期!I67</f>
        <v>#REF!</v>
      </c>
      <c r="H30" s="71" t="e">
        <f>#REF!-十四五及中长期!J67</f>
        <v>#REF!</v>
      </c>
      <c r="I30" s="71"/>
      <c r="J30" s="71"/>
      <c r="K30" s="71"/>
      <c r="L30" s="71" t="s">
        <v>58</v>
      </c>
      <c r="M30" s="71"/>
    </row>
    <row r="31" spans="1:13" ht="21">
      <c r="A31" s="65">
        <v>20</v>
      </c>
      <c r="B31" s="70" t="s">
        <v>202</v>
      </c>
      <c r="C31" s="71" t="s">
        <v>62</v>
      </c>
      <c r="D31" s="71" t="s">
        <v>221</v>
      </c>
      <c r="E31" s="71" t="s">
        <v>140</v>
      </c>
      <c r="F31" s="72" t="s">
        <v>204</v>
      </c>
      <c r="G31" s="71" t="e">
        <f>#REF!-十四五及中长期!I68</f>
        <v>#REF!</v>
      </c>
      <c r="H31" s="71" t="e">
        <f>#REF!-十四五及中长期!J68</f>
        <v>#REF!</v>
      </c>
      <c r="I31" s="71"/>
      <c r="J31" s="71"/>
      <c r="K31" s="71"/>
      <c r="L31" s="71" t="s">
        <v>58</v>
      </c>
      <c r="M31" s="71"/>
    </row>
    <row r="32" spans="1:13">
      <c r="A32" s="65" t="s">
        <v>193</v>
      </c>
      <c r="B32" s="66" t="s">
        <v>206</v>
      </c>
      <c r="C32" s="67"/>
      <c r="D32" s="67"/>
      <c r="E32" s="67"/>
      <c r="F32" s="68"/>
      <c r="G32" s="67" t="e">
        <f>SUM(G33:G35)</f>
        <v>#REF!</v>
      </c>
      <c r="H32" s="67" t="e">
        <f>SUM(H33:H35)</f>
        <v>#REF!</v>
      </c>
      <c r="I32" s="85"/>
      <c r="J32" s="85"/>
      <c r="K32" s="85"/>
      <c r="L32" s="85"/>
      <c r="M32" s="85"/>
    </row>
    <row r="33" spans="1:13" ht="21" hidden="1">
      <c r="A33" s="65">
        <v>21</v>
      </c>
      <c r="B33" s="70" t="s">
        <v>207</v>
      </c>
      <c r="C33" s="71" t="s">
        <v>19</v>
      </c>
      <c r="D33" s="71" t="s">
        <v>125</v>
      </c>
      <c r="E33" s="71" t="s">
        <v>43</v>
      </c>
      <c r="F33" s="72" t="s">
        <v>272</v>
      </c>
      <c r="G33" s="71" t="e">
        <f>#REF!-十四五及中长期!I70</f>
        <v>#REF!</v>
      </c>
      <c r="H33" s="71" t="e">
        <f>#REF!-十四五及中长期!J70</f>
        <v>#REF!</v>
      </c>
      <c r="I33" s="71"/>
      <c r="J33" s="71"/>
      <c r="K33" s="71"/>
      <c r="L33" s="71" t="s">
        <v>58</v>
      </c>
      <c r="M33" s="71"/>
    </row>
    <row r="34" spans="1:13" ht="21">
      <c r="A34" s="65">
        <v>22</v>
      </c>
      <c r="B34" s="70" t="s">
        <v>273</v>
      </c>
      <c r="C34" s="71" t="s">
        <v>19</v>
      </c>
      <c r="D34" s="71" t="s">
        <v>260</v>
      </c>
      <c r="E34" s="72" t="s">
        <v>168</v>
      </c>
      <c r="F34" s="72" t="s">
        <v>274</v>
      </c>
      <c r="G34" s="71" t="e">
        <f>#REF!-十四五及中长期!#REF!</f>
        <v>#REF!</v>
      </c>
      <c r="H34" s="71" t="e">
        <f>#REF!-十四五及中长期!#REF!</f>
        <v>#REF!</v>
      </c>
      <c r="I34" s="71"/>
      <c r="J34" s="71"/>
      <c r="K34" s="71"/>
      <c r="L34" s="71" t="s">
        <v>58</v>
      </c>
      <c r="M34" s="71"/>
    </row>
    <row r="35" spans="1:13" ht="21">
      <c r="A35" s="65">
        <v>23</v>
      </c>
      <c r="B35" s="70" t="s">
        <v>275</v>
      </c>
      <c r="C35" s="71" t="s">
        <v>19</v>
      </c>
      <c r="D35" s="71" t="s">
        <v>221</v>
      </c>
      <c r="E35" s="72" t="s">
        <v>276</v>
      </c>
      <c r="F35" s="72" t="s">
        <v>222</v>
      </c>
      <c r="G35" s="71" t="e">
        <f>#REF!-十四五及中长期!I77</f>
        <v>#REF!</v>
      </c>
      <c r="H35" s="71" t="e">
        <f>#REF!-十四五及中长期!J77</f>
        <v>#REF!</v>
      </c>
      <c r="I35" s="85"/>
      <c r="J35" s="85"/>
      <c r="K35" s="85"/>
      <c r="L35" s="71" t="s">
        <v>58</v>
      </c>
      <c r="M35" s="71"/>
    </row>
    <row r="36" spans="1:13">
      <c r="A36" s="65" t="s">
        <v>197</v>
      </c>
      <c r="B36" s="77" t="s">
        <v>224</v>
      </c>
      <c r="C36" s="67"/>
      <c r="D36" s="66"/>
      <c r="E36" s="67"/>
      <c r="F36" s="66"/>
      <c r="G36" s="67" t="e">
        <f>SUM(G37:G39)</f>
        <v>#REF!</v>
      </c>
      <c r="H36" s="67" t="e">
        <f>SUM(H37:H39)</f>
        <v>#REF!</v>
      </c>
      <c r="I36" s="71"/>
      <c r="J36" s="71"/>
      <c r="K36" s="71"/>
      <c r="L36" s="88"/>
      <c r="M36" s="85"/>
    </row>
    <row r="37" spans="1:13" ht="21" hidden="1">
      <c r="A37" s="65">
        <v>24</v>
      </c>
      <c r="B37" s="76" t="s">
        <v>225</v>
      </c>
      <c r="C37" s="71" t="s">
        <v>19</v>
      </c>
      <c r="D37" s="71" t="s">
        <v>125</v>
      </c>
      <c r="E37" s="71" t="s">
        <v>239</v>
      </c>
      <c r="F37" s="70" t="s">
        <v>226</v>
      </c>
      <c r="G37" s="71" t="e">
        <f>#REF!-十四五及中长期!I79</f>
        <v>#REF!</v>
      </c>
      <c r="H37" s="71" t="e">
        <f>#REF!-十四五及中长期!J79</f>
        <v>#REF!</v>
      </c>
      <c r="I37" s="89"/>
      <c r="J37" s="89"/>
      <c r="K37" s="89"/>
      <c r="L37" s="71" t="s">
        <v>58</v>
      </c>
      <c r="M37" s="71"/>
    </row>
    <row r="38" spans="1:13" ht="21" hidden="1">
      <c r="A38" s="65">
        <v>25</v>
      </c>
      <c r="B38" s="76" t="s">
        <v>227</v>
      </c>
      <c r="C38" s="71" t="s">
        <v>19</v>
      </c>
      <c r="D38" s="71" t="s">
        <v>125</v>
      </c>
      <c r="E38" s="71" t="s">
        <v>277</v>
      </c>
      <c r="F38" s="70" t="s">
        <v>227</v>
      </c>
      <c r="G38" s="71" t="e">
        <f>#REF!-十四五及中长期!I80</f>
        <v>#REF!</v>
      </c>
      <c r="H38" s="71" t="e">
        <f>#REF!-十四五及中长期!J80</f>
        <v>#REF!</v>
      </c>
      <c r="I38" s="85"/>
      <c r="J38" s="85"/>
      <c r="K38" s="85"/>
      <c r="L38" s="71" t="s">
        <v>58</v>
      </c>
      <c r="M38" s="90"/>
    </row>
    <row r="39" spans="1:13">
      <c r="A39" s="65">
        <v>26</v>
      </c>
      <c r="B39" s="76" t="s">
        <v>278</v>
      </c>
      <c r="C39" s="71" t="s">
        <v>19</v>
      </c>
      <c r="D39" s="71" t="s">
        <v>221</v>
      </c>
      <c r="E39" s="71" t="s">
        <v>21</v>
      </c>
      <c r="F39" s="70" t="s">
        <v>279</v>
      </c>
      <c r="G39" s="71" t="e">
        <f>#REF!-十四五及中长期!I81</f>
        <v>#REF!</v>
      </c>
      <c r="H39" s="71" t="e">
        <f>#REF!-十四五及中长期!J81</f>
        <v>#REF!</v>
      </c>
      <c r="I39" s="85"/>
      <c r="J39" s="85"/>
      <c r="K39" s="85"/>
      <c r="L39" s="71"/>
      <c r="M39" s="90"/>
    </row>
    <row r="40" spans="1:13" hidden="1">
      <c r="A40" s="65" t="s">
        <v>205</v>
      </c>
      <c r="B40" s="66" t="s">
        <v>194</v>
      </c>
      <c r="C40" s="67"/>
      <c r="D40" s="67"/>
      <c r="E40" s="67"/>
      <c r="F40" s="68"/>
      <c r="G40" s="67" t="e">
        <f>SUM(G41)</f>
        <v>#REF!</v>
      </c>
      <c r="H40" s="67" t="e">
        <f>SUM(H41)</f>
        <v>#REF!</v>
      </c>
      <c r="I40" s="85"/>
      <c r="J40" s="85"/>
      <c r="K40" s="85"/>
      <c r="L40" s="85"/>
      <c r="M40" s="85"/>
    </row>
    <row r="41" spans="1:13" ht="21" hidden="1">
      <c r="A41" s="65">
        <v>27</v>
      </c>
      <c r="B41" s="70" t="s">
        <v>195</v>
      </c>
      <c r="C41" s="71" t="s">
        <v>62</v>
      </c>
      <c r="D41" s="71" t="s">
        <v>125</v>
      </c>
      <c r="E41" s="71" t="s">
        <v>218</v>
      </c>
      <c r="F41" s="72" t="s">
        <v>196</v>
      </c>
      <c r="G41" s="71" t="e">
        <f>#REF!-十四五及中长期!#REF!</f>
        <v>#REF!</v>
      </c>
      <c r="H41" s="71" t="e">
        <f>#REF!-十四五及中长期!#REF!</f>
        <v>#REF!</v>
      </c>
      <c r="I41" s="71"/>
      <c r="J41" s="71"/>
      <c r="K41" s="71"/>
      <c r="L41" s="71" t="s">
        <v>58</v>
      </c>
      <c r="M41" s="71"/>
    </row>
    <row r="42" spans="1:13">
      <c r="A42" s="81"/>
      <c r="B42" s="82"/>
      <c r="C42" s="83"/>
      <c r="D42" s="81"/>
      <c r="E42" s="83"/>
      <c r="F42" s="82"/>
      <c r="G42" s="83"/>
      <c r="H42" s="83"/>
      <c r="I42" s="83"/>
      <c r="J42" s="83"/>
      <c r="K42" s="83"/>
      <c r="L42" s="81"/>
      <c r="M42" s="83"/>
    </row>
  </sheetData>
  <mergeCells count="11">
    <mergeCell ref="A1:M1"/>
    <mergeCell ref="H2:K2"/>
    <mergeCell ref="A2:A3"/>
    <mergeCell ref="B2:B3"/>
    <mergeCell ref="C2:C3"/>
    <mergeCell ref="D2:D3"/>
    <mergeCell ref="E2:E3"/>
    <mergeCell ref="F2:F3"/>
    <mergeCell ref="G2:G3"/>
    <mergeCell ref="L2:L3"/>
    <mergeCell ref="M2:M3"/>
  </mergeCells>
  <phoneticPr fontId="6" type="noConversion"/>
  <pageMargins left="0.55486111111111103" right="0.55486111111111103" top="0.60624999999999996" bottom="0.60624999999999996" header="0.5" footer="0.5"/>
  <pageSetup paperSize="9" scale="20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D198D-45B3-4552-A353-6FBB16D1EE0B}">
  <dimension ref="A1:N73"/>
  <sheetViews>
    <sheetView zoomScaleNormal="100" zoomScaleSheetLayoutView="100" workbookViewId="0">
      <pane ySplit="3" topLeftCell="A4" activePane="bottomLeft" state="frozen"/>
      <selection pane="bottomLeft" activeCell="P3" sqref="P3"/>
    </sheetView>
  </sheetViews>
  <sheetFormatPr defaultColWidth="9" defaultRowHeight="13.5"/>
  <cols>
    <col min="1" max="1" width="4.5" style="10" customWidth="1"/>
    <col min="2" max="2" width="25.5" style="11" customWidth="1"/>
    <col min="3" max="3" width="6.375" style="12" customWidth="1"/>
    <col min="4" max="4" width="9" style="12"/>
    <col min="5" max="5" width="8.25" style="10" customWidth="1"/>
    <col min="6" max="6" width="26.25" style="12" customWidth="1"/>
    <col min="7" max="7" width="8.5" style="11" customWidth="1"/>
    <col min="8" max="8" width="8.625" style="12" customWidth="1"/>
    <col min="9" max="9" width="8.375" style="12" customWidth="1"/>
    <col min="10" max="10" width="8.5" style="12" customWidth="1"/>
    <col min="11" max="11" width="5.875" style="12" customWidth="1"/>
    <col min="12" max="12" width="6.25" style="12" customWidth="1"/>
    <col min="13" max="13" width="8.375" style="12" customWidth="1"/>
    <col min="14" max="14" width="7.875" style="12" customWidth="1"/>
    <col min="15" max="16384" width="9" style="12"/>
  </cols>
  <sheetData>
    <row r="1" spans="1:14" ht="38.1" customHeight="1">
      <c r="A1" s="101" t="s">
        <v>289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21.95" customHeight="1">
      <c r="A2" s="103" t="s">
        <v>0</v>
      </c>
      <c r="B2" s="104" t="s">
        <v>1</v>
      </c>
      <c r="C2" s="105" t="s">
        <v>2</v>
      </c>
      <c r="D2" s="105" t="s">
        <v>3</v>
      </c>
      <c r="E2" s="103" t="s">
        <v>4</v>
      </c>
      <c r="F2" s="103" t="s">
        <v>5</v>
      </c>
      <c r="G2" s="106" t="s">
        <v>287</v>
      </c>
      <c r="H2" s="105" t="s">
        <v>291</v>
      </c>
      <c r="I2" s="103" t="s">
        <v>7</v>
      </c>
      <c r="J2" s="103"/>
      <c r="K2" s="103"/>
      <c r="L2" s="103"/>
      <c r="M2" s="103" t="s">
        <v>8</v>
      </c>
      <c r="N2" s="103" t="s">
        <v>9</v>
      </c>
    </row>
    <row r="3" spans="1:14" ht="18.95" customHeight="1">
      <c r="A3" s="103"/>
      <c r="B3" s="104"/>
      <c r="C3" s="103"/>
      <c r="D3" s="103"/>
      <c r="E3" s="103"/>
      <c r="F3" s="103"/>
      <c r="G3" s="107"/>
      <c r="H3" s="103"/>
      <c r="I3" s="13" t="s">
        <v>10</v>
      </c>
      <c r="J3" s="13" t="s">
        <v>11</v>
      </c>
      <c r="K3" s="13" t="s">
        <v>12</v>
      </c>
      <c r="L3" s="13" t="s">
        <v>13</v>
      </c>
      <c r="M3" s="103"/>
      <c r="N3" s="103"/>
    </row>
    <row r="4" spans="1:14" ht="24" customHeight="1">
      <c r="A4" s="14" t="s">
        <v>14</v>
      </c>
      <c r="B4" s="15" t="s">
        <v>15</v>
      </c>
      <c r="C4" s="16"/>
      <c r="D4" s="16"/>
      <c r="E4" s="16"/>
      <c r="F4" s="17"/>
      <c r="G4" s="19">
        <f>G5+G7+G11+G13+G15+G17+G23+G28+G30+G55+G57+G59+G68+G72</f>
        <v>1680698</v>
      </c>
      <c r="H4" s="19">
        <f>H5+H7+H11+H13+H15+H17+H23+H28+H30+H55+H57+H59+H68+H72</f>
        <v>10673478</v>
      </c>
      <c r="I4" s="19">
        <f>I5+I7+I11+I13+I15+I17+I23+I28+I30+I55+I57+I59+I68+I72</f>
        <v>4325678</v>
      </c>
      <c r="J4" s="19">
        <f>J5+J7+J11+J13+J15+J17+J23+J28+J30+J55+J57+J59+J68+J72</f>
        <v>6322800</v>
      </c>
      <c r="K4" s="50">
        <f>K5+K7+K11+K13+K15+K17+K23+K28+K30+K55+K57+K59+K68+K72</f>
        <v>15000</v>
      </c>
      <c r="L4" s="50">
        <f>L5+L7+L11+L13+L15+L17+L23+L28+L30+L55+L57+L59+L68+L72</f>
        <v>10000</v>
      </c>
      <c r="M4" s="51"/>
      <c r="N4" s="51"/>
    </row>
    <row r="5" spans="1:14" ht="24" customHeight="1">
      <c r="A5" s="20" t="s">
        <v>16</v>
      </c>
      <c r="B5" s="21" t="s">
        <v>17</v>
      </c>
      <c r="C5" s="22"/>
      <c r="D5" s="22"/>
      <c r="E5" s="22"/>
      <c r="F5" s="23"/>
      <c r="G5" s="112">
        <f>SUM(G6)</f>
        <v>30000</v>
      </c>
      <c r="H5" s="22">
        <f t="shared" ref="H5:L5" si="0">SUM(H6)</f>
        <v>200000</v>
      </c>
      <c r="I5" s="22">
        <f t="shared" si="0"/>
        <v>5000</v>
      </c>
      <c r="J5" s="22">
        <f t="shared" si="0"/>
        <v>190000</v>
      </c>
      <c r="K5" s="22">
        <f t="shared" si="0"/>
        <v>5000</v>
      </c>
      <c r="L5" s="22">
        <f t="shared" si="0"/>
        <v>0</v>
      </c>
      <c r="M5" s="38"/>
      <c r="N5" s="38"/>
    </row>
    <row r="6" spans="1:14" ht="41.25" customHeight="1">
      <c r="A6" s="14">
        <v>1</v>
      </c>
      <c r="B6" s="24" t="s">
        <v>18</v>
      </c>
      <c r="C6" s="25" t="s">
        <v>19</v>
      </c>
      <c r="D6" s="26" t="s">
        <v>20</v>
      </c>
      <c r="E6" s="25" t="s">
        <v>21</v>
      </c>
      <c r="F6" s="27" t="s">
        <v>22</v>
      </c>
      <c r="G6" s="25">
        <v>30000</v>
      </c>
      <c r="H6" s="25">
        <f>SUM(I6:L6)</f>
        <v>200000</v>
      </c>
      <c r="I6" s="25">
        <v>5000</v>
      </c>
      <c r="J6" s="25">
        <v>190000</v>
      </c>
      <c r="K6" s="44">
        <v>5000</v>
      </c>
      <c r="L6" s="44"/>
      <c r="M6" s="44" t="s">
        <v>23</v>
      </c>
      <c r="N6" s="44"/>
    </row>
    <row r="7" spans="1:14" ht="24" customHeight="1">
      <c r="A7" s="20" t="s">
        <v>24</v>
      </c>
      <c r="B7" s="21" t="s">
        <v>25</v>
      </c>
      <c r="C7" s="22"/>
      <c r="D7" s="28"/>
      <c r="E7" s="22"/>
      <c r="F7" s="23"/>
      <c r="G7" s="112">
        <f>SUM(G8:G10)</f>
        <v>845000</v>
      </c>
      <c r="H7" s="29">
        <f>SUM(H8:H10)</f>
        <v>5120000</v>
      </c>
      <c r="I7" s="29">
        <f>SUM(I8:I10)</f>
        <v>1030000</v>
      </c>
      <c r="J7" s="29">
        <f>SUM(J8:J10)</f>
        <v>4090000</v>
      </c>
      <c r="K7" s="29">
        <f>SUM(K8:K10)</f>
        <v>0</v>
      </c>
      <c r="L7" s="29">
        <f>SUM(L8:L10)</f>
        <v>0</v>
      </c>
      <c r="M7" s="22"/>
      <c r="N7" s="22"/>
    </row>
    <row r="8" spans="1:14" ht="43.5" customHeight="1">
      <c r="A8" s="14">
        <v>2</v>
      </c>
      <c r="B8" s="24" t="s">
        <v>26</v>
      </c>
      <c r="C8" s="25" t="s">
        <v>19</v>
      </c>
      <c r="D8" s="26" t="s">
        <v>20</v>
      </c>
      <c r="E8" s="25" t="s">
        <v>27</v>
      </c>
      <c r="F8" s="27" t="s">
        <v>28</v>
      </c>
      <c r="G8" s="25">
        <v>435000</v>
      </c>
      <c r="H8" s="25">
        <f>SUM(I8:L8)</f>
        <v>2620000</v>
      </c>
      <c r="I8" s="30">
        <v>520000</v>
      </c>
      <c r="J8" s="25">
        <v>2100000</v>
      </c>
      <c r="K8" s="44"/>
      <c r="L8" s="44"/>
      <c r="M8" s="44" t="s">
        <v>29</v>
      </c>
      <c r="N8" s="44"/>
    </row>
    <row r="9" spans="1:14" ht="38.25" customHeight="1">
      <c r="A9" s="14">
        <v>3</v>
      </c>
      <c r="B9" s="31" t="s">
        <v>33</v>
      </c>
      <c r="C9" s="32" t="s">
        <v>19</v>
      </c>
      <c r="D9" s="33" t="s">
        <v>34</v>
      </c>
      <c r="E9" s="32" t="s">
        <v>35</v>
      </c>
      <c r="F9" s="31" t="s">
        <v>36</v>
      </c>
      <c r="G9" s="32">
        <v>390000</v>
      </c>
      <c r="H9" s="25">
        <f t="shared" ref="H9:H29" si="1">SUM(I9:L9)</f>
        <v>1900000</v>
      </c>
      <c r="I9" s="34">
        <v>390000</v>
      </c>
      <c r="J9" s="32">
        <v>1510000</v>
      </c>
      <c r="K9" s="32"/>
      <c r="L9" s="32"/>
      <c r="M9" s="44" t="s">
        <v>29</v>
      </c>
      <c r="N9" s="44"/>
    </row>
    <row r="10" spans="1:14" ht="42" customHeight="1">
      <c r="A10" s="14">
        <v>4</v>
      </c>
      <c r="B10" s="31" t="s">
        <v>41</v>
      </c>
      <c r="C10" s="32" t="s">
        <v>19</v>
      </c>
      <c r="D10" s="33" t="s">
        <v>42</v>
      </c>
      <c r="E10" s="32" t="s">
        <v>43</v>
      </c>
      <c r="F10" s="31" t="s">
        <v>44</v>
      </c>
      <c r="G10" s="32">
        <v>20000</v>
      </c>
      <c r="H10" s="25">
        <f t="shared" si="1"/>
        <v>600000</v>
      </c>
      <c r="I10" s="35">
        <v>120000</v>
      </c>
      <c r="J10" s="35">
        <v>480000</v>
      </c>
      <c r="K10" s="35"/>
      <c r="L10" s="35"/>
      <c r="M10" s="44" t="s">
        <v>29</v>
      </c>
      <c r="N10" s="44"/>
    </row>
    <row r="11" spans="1:14" ht="24" customHeight="1">
      <c r="A11" s="20" t="s">
        <v>45</v>
      </c>
      <c r="B11" s="21" t="s">
        <v>46</v>
      </c>
      <c r="C11" s="22"/>
      <c r="D11" s="28"/>
      <c r="E11" s="22"/>
      <c r="F11" s="23"/>
      <c r="G11" s="112">
        <f>SUM(G12:G12)</f>
        <v>480000</v>
      </c>
      <c r="H11" s="29">
        <f>SUM(H12:H12)</f>
        <v>2400000</v>
      </c>
      <c r="I11" s="29">
        <f>SUM(I12:I12)</f>
        <v>480000</v>
      </c>
      <c r="J11" s="29">
        <f>SUM(J12:J12)</f>
        <v>1920000</v>
      </c>
      <c r="K11" s="29">
        <f>SUM(K12:K12)</f>
        <v>0</v>
      </c>
      <c r="L11" s="29">
        <f>SUM(L12:L12)</f>
        <v>0</v>
      </c>
      <c r="M11" s="22"/>
      <c r="N11" s="22"/>
    </row>
    <row r="12" spans="1:14" ht="26.1" customHeight="1">
      <c r="A12" s="14">
        <v>5</v>
      </c>
      <c r="B12" s="24" t="s">
        <v>50</v>
      </c>
      <c r="C12" s="25" t="s">
        <v>19</v>
      </c>
      <c r="D12" s="26" t="s">
        <v>51</v>
      </c>
      <c r="E12" s="25" t="s">
        <v>21</v>
      </c>
      <c r="F12" s="27" t="s">
        <v>293</v>
      </c>
      <c r="G12" s="25">
        <v>480000</v>
      </c>
      <c r="H12" s="25">
        <f t="shared" si="1"/>
        <v>2400000</v>
      </c>
      <c r="I12" s="25">
        <v>480000</v>
      </c>
      <c r="J12" s="25">
        <v>1920000</v>
      </c>
      <c r="K12" s="44"/>
      <c r="L12" s="44"/>
      <c r="M12" s="44" t="s">
        <v>49</v>
      </c>
      <c r="N12" s="44"/>
    </row>
    <row r="13" spans="1:14" ht="24" customHeight="1">
      <c r="A13" s="20" t="s">
        <v>59</v>
      </c>
      <c r="B13" s="21" t="s">
        <v>60</v>
      </c>
      <c r="C13" s="38"/>
      <c r="D13" s="96"/>
      <c r="E13" s="97"/>
      <c r="F13" s="98"/>
      <c r="G13" s="112">
        <f>SUM(G14)</f>
        <v>500</v>
      </c>
      <c r="H13" s="22">
        <f t="shared" ref="H13:L13" si="2">SUM(H14)</f>
        <v>444000</v>
      </c>
      <c r="I13" s="22">
        <f t="shared" si="2"/>
        <v>444000</v>
      </c>
      <c r="J13" s="22">
        <f t="shared" si="2"/>
        <v>0</v>
      </c>
      <c r="K13" s="22">
        <f t="shared" si="2"/>
        <v>0</v>
      </c>
      <c r="L13" s="22">
        <f t="shared" si="2"/>
        <v>0</v>
      </c>
      <c r="M13" s="38"/>
      <c r="N13" s="38"/>
    </row>
    <row r="14" spans="1:14" ht="30.75" customHeight="1">
      <c r="A14" s="14">
        <v>6</v>
      </c>
      <c r="B14" s="24" t="s">
        <v>61</v>
      </c>
      <c r="C14" s="25" t="s">
        <v>62</v>
      </c>
      <c r="D14" s="26" t="s">
        <v>56</v>
      </c>
      <c r="E14" s="25" t="s">
        <v>21</v>
      </c>
      <c r="F14" s="99" t="s">
        <v>63</v>
      </c>
      <c r="G14" s="25">
        <v>500</v>
      </c>
      <c r="H14" s="25">
        <f t="shared" si="1"/>
        <v>444000</v>
      </c>
      <c r="I14" s="25">
        <v>444000</v>
      </c>
      <c r="J14" s="25"/>
      <c r="K14" s="44"/>
      <c r="L14" s="44"/>
      <c r="M14" s="44" t="s">
        <v>49</v>
      </c>
      <c r="N14" s="44" t="s">
        <v>290</v>
      </c>
    </row>
    <row r="15" spans="1:14" ht="24" customHeight="1">
      <c r="A15" s="20" t="s">
        <v>64</v>
      </c>
      <c r="B15" s="21" t="s">
        <v>65</v>
      </c>
      <c r="C15" s="38"/>
      <c r="D15" s="38"/>
      <c r="E15" s="38"/>
      <c r="F15" s="38"/>
      <c r="G15" s="112">
        <f>SUM(G16)</f>
        <v>1000</v>
      </c>
      <c r="H15" s="22">
        <f>SUM(H16)</f>
        <v>204000</v>
      </c>
      <c r="I15" s="22">
        <f t="shared" ref="I15:L15" si="3">I16</f>
        <v>204000</v>
      </c>
      <c r="J15" s="22">
        <f t="shared" si="3"/>
        <v>0</v>
      </c>
      <c r="K15" s="22">
        <f t="shared" si="3"/>
        <v>0</v>
      </c>
      <c r="L15" s="22">
        <f t="shared" si="3"/>
        <v>0</v>
      </c>
      <c r="M15" s="38"/>
      <c r="N15" s="38"/>
    </row>
    <row r="16" spans="1:14" ht="24" customHeight="1">
      <c r="A16" s="14">
        <v>7</v>
      </c>
      <c r="B16" s="24" t="s">
        <v>66</v>
      </c>
      <c r="C16" s="25" t="s">
        <v>62</v>
      </c>
      <c r="D16" s="26" t="s">
        <v>56</v>
      </c>
      <c r="E16" s="25" t="s">
        <v>21</v>
      </c>
      <c r="F16" s="27" t="s">
        <v>67</v>
      </c>
      <c r="G16" s="25">
        <v>1000</v>
      </c>
      <c r="H16" s="25">
        <f t="shared" si="1"/>
        <v>204000</v>
      </c>
      <c r="I16" s="25">
        <v>204000</v>
      </c>
      <c r="J16" s="25"/>
      <c r="K16" s="44"/>
      <c r="L16" s="44"/>
      <c r="M16" s="44" t="s">
        <v>49</v>
      </c>
      <c r="N16" s="44" t="s">
        <v>290</v>
      </c>
    </row>
    <row r="17" spans="1:14" ht="20.25" customHeight="1">
      <c r="A17" s="20" t="s">
        <v>68</v>
      </c>
      <c r="B17" s="21" t="s">
        <v>69</v>
      </c>
      <c r="C17" s="22"/>
      <c r="D17" s="28"/>
      <c r="E17" s="22"/>
      <c r="F17" s="23"/>
      <c r="G17" s="112">
        <f>SUM(G18:G22)</f>
        <v>1000</v>
      </c>
      <c r="H17" s="22">
        <f t="shared" ref="H17:L17" si="4">SUM(H18:H22)</f>
        <v>1559680</v>
      </c>
      <c r="I17" s="22">
        <f t="shared" si="4"/>
        <v>1559680</v>
      </c>
      <c r="J17" s="22">
        <f t="shared" si="4"/>
        <v>0</v>
      </c>
      <c r="K17" s="22">
        <f t="shared" si="4"/>
        <v>0</v>
      </c>
      <c r="L17" s="22">
        <f t="shared" si="4"/>
        <v>0</v>
      </c>
      <c r="M17" s="22"/>
      <c r="N17" s="22"/>
    </row>
    <row r="18" spans="1:14" ht="24" customHeight="1">
      <c r="A18" s="14">
        <v>8</v>
      </c>
      <c r="B18" s="24" t="s">
        <v>70</v>
      </c>
      <c r="C18" s="25" t="s">
        <v>19</v>
      </c>
      <c r="D18" s="26" t="s">
        <v>71</v>
      </c>
      <c r="E18" s="25" t="s">
        <v>21</v>
      </c>
      <c r="F18" s="27" t="s">
        <v>72</v>
      </c>
      <c r="G18" s="25">
        <v>200</v>
      </c>
      <c r="H18" s="25">
        <f t="shared" si="1"/>
        <v>404000</v>
      </c>
      <c r="I18" s="25">
        <v>404000</v>
      </c>
      <c r="J18" s="25"/>
      <c r="K18" s="44"/>
      <c r="L18" s="44"/>
      <c r="M18" s="44" t="s">
        <v>58</v>
      </c>
      <c r="N18" s="44" t="s">
        <v>290</v>
      </c>
    </row>
    <row r="19" spans="1:14" ht="37.5" customHeight="1">
      <c r="A19" s="14">
        <v>9</v>
      </c>
      <c r="B19" s="24" t="s">
        <v>73</v>
      </c>
      <c r="C19" s="25" t="s">
        <v>62</v>
      </c>
      <c r="D19" s="26" t="s">
        <v>74</v>
      </c>
      <c r="E19" s="25" t="s">
        <v>75</v>
      </c>
      <c r="F19" s="27" t="s">
        <v>76</v>
      </c>
      <c r="G19" s="25">
        <v>200</v>
      </c>
      <c r="H19" s="25">
        <f t="shared" si="1"/>
        <v>444000</v>
      </c>
      <c r="I19" s="25">
        <v>444000</v>
      </c>
      <c r="J19" s="25"/>
      <c r="K19" s="44"/>
      <c r="L19" s="44"/>
      <c r="M19" s="44" t="s">
        <v>58</v>
      </c>
      <c r="N19" s="44" t="s">
        <v>290</v>
      </c>
    </row>
    <row r="20" spans="1:14" ht="36.75" customHeight="1">
      <c r="A20" s="14">
        <v>10</v>
      </c>
      <c r="B20" s="24" t="s">
        <v>77</v>
      </c>
      <c r="C20" s="25" t="s">
        <v>19</v>
      </c>
      <c r="D20" s="26" t="s">
        <v>74</v>
      </c>
      <c r="E20" s="25" t="s">
        <v>78</v>
      </c>
      <c r="F20" s="27" t="s">
        <v>79</v>
      </c>
      <c r="G20" s="25">
        <v>200</v>
      </c>
      <c r="H20" s="25">
        <f t="shared" si="1"/>
        <v>247680</v>
      </c>
      <c r="I20" s="25">
        <v>247680</v>
      </c>
      <c r="J20" s="25"/>
      <c r="K20" s="44"/>
      <c r="L20" s="44"/>
      <c r="M20" s="44" t="s">
        <v>58</v>
      </c>
      <c r="N20" s="44" t="s">
        <v>290</v>
      </c>
    </row>
    <row r="21" spans="1:14" ht="35.25" customHeight="1">
      <c r="A21" s="14">
        <v>11</v>
      </c>
      <c r="B21" s="36" t="s">
        <v>80</v>
      </c>
      <c r="C21" s="25" t="s">
        <v>19</v>
      </c>
      <c r="D21" s="26" t="s">
        <v>81</v>
      </c>
      <c r="E21" s="25" t="s">
        <v>82</v>
      </c>
      <c r="F21" s="27" t="s">
        <v>83</v>
      </c>
      <c r="G21" s="25">
        <v>200</v>
      </c>
      <c r="H21" s="25">
        <f t="shared" si="1"/>
        <v>180000</v>
      </c>
      <c r="I21" s="25">
        <v>180000</v>
      </c>
      <c r="J21" s="25"/>
      <c r="K21" s="44"/>
      <c r="L21" s="44"/>
      <c r="M21" s="44" t="s">
        <v>58</v>
      </c>
      <c r="N21" s="44" t="s">
        <v>290</v>
      </c>
    </row>
    <row r="22" spans="1:14" ht="23.1" customHeight="1">
      <c r="A22" s="14">
        <v>12</v>
      </c>
      <c r="B22" s="36" t="s">
        <v>84</v>
      </c>
      <c r="C22" s="25" t="s">
        <v>19</v>
      </c>
      <c r="D22" s="26" t="s">
        <v>85</v>
      </c>
      <c r="E22" s="25" t="s">
        <v>86</v>
      </c>
      <c r="F22" s="27" t="s">
        <v>87</v>
      </c>
      <c r="G22" s="25">
        <v>200</v>
      </c>
      <c r="H22" s="25">
        <f t="shared" si="1"/>
        <v>284000</v>
      </c>
      <c r="I22" s="25">
        <v>284000</v>
      </c>
      <c r="J22" s="25"/>
      <c r="K22" s="44"/>
      <c r="L22" s="44"/>
      <c r="M22" s="44" t="s">
        <v>58</v>
      </c>
      <c r="N22" s="44" t="s">
        <v>290</v>
      </c>
    </row>
    <row r="23" spans="1:14" ht="24" customHeight="1">
      <c r="A23" s="20" t="s">
        <v>88</v>
      </c>
      <c r="B23" s="37" t="s">
        <v>89</v>
      </c>
      <c r="C23" s="38"/>
      <c r="D23" s="39"/>
      <c r="E23" s="38"/>
      <c r="F23" s="39"/>
      <c r="G23" s="112">
        <f>SUM(G24:G27)</f>
        <v>63900</v>
      </c>
      <c r="H23" s="22">
        <f>SUM(H24:H27)</f>
        <v>431500</v>
      </c>
      <c r="I23" s="22">
        <f>SUM(I24:I27)</f>
        <v>431500</v>
      </c>
      <c r="J23" s="22">
        <f>SUM(J24:J27)</f>
        <v>0</v>
      </c>
      <c r="K23" s="22">
        <f>SUM(K24:K27)</f>
        <v>0</v>
      </c>
      <c r="L23" s="22">
        <f>SUM(L24:L27)</f>
        <v>0</v>
      </c>
      <c r="M23" s="39"/>
      <c r="N23" s="38"/>
    </row>
    <row r="24" spans="1:14" ht="23.1" customHeight="1">
      <c r="A24" s="14">
        <v>13</v>
      </c>
      <c r="B24" s="24" t="s">
        <v>94</v>
      </c>
      <c r="C24" s="25" t="s">
        <v>62</v>
      </c>
      <c r="D24" s="26" t="s">
        <v>38</v>
      </c>
      <c r="E24" s="25" t="s">
        <v>21</v>
      </c>
      <c r="F24" s="27" t="s">
        <v>95</v>
      </c>
      <c r="G24" s="25">
        <v>20400</v>
      </c>
      <c r="H24" s="25">
        <f t="shared" si="1"/>
        <v>388000</v>
      </c>
      <c r="I24" s="25">
        <v>388000</v>
      </c>
      <c r="J24" s="16"/>
      <c r="K24" s="51"/>
      <c r="L24" s="51"/>
      <c r="M24" s="44" t="s">
        <v>58</v>
      </c>
      <c r="N24" s="44" t="s">
        <v>280</v>
      </c>
    </row>
    <row r="25" spans="1:14" ht="23.1" customHeight="1">
      <c r="A25" s="14">
        <v>14</v>
      </c>
      <c r="B25" s="40" t="s">
        <v>102</v>
      </c>
      <c r="C25" s="41" t="s">
        <v>62</v>
      </c>
      <c r="D25" s="25" t="s">
        <v>103</v>
      </c>
      <c r="E25" s="41" t="s">
        <v>104</v>
      </c>
      <c r="F25" s="24" t="s">
        <v>105</v>
      </c>
      <c r="G25" s="25">
        <v>20400</v>
      </c>
      <c r="H25" s="25">
        <f t="shared" si="1"/>
        <v>20400</v>
      </c>
      <c r="I25" s="25">
        <v>20400</v>
      </c>
      <c r="J25" s="24"/>
      <c r="K25" s="52"/>
      <c r="L25" s="52"/>
      <c r="M25" s="44" t="s">
        <v>58</v>
      </c>
      <c r="N25" s="44"/>
    </row>
    <row r="26" spans="1:14" ht="23.1" customHeight="1">
      <c r="A26" s="14">
        <v>15</v>
      </c>
      <c r="B26" s="27" t="s">
        <v>106</v>
      </c>
      <c r="C26" s="41" t="s">
        <v>62</v>
      </c>
      <c r="D26" s="42" t="s">
        <v>42</v>
      </c>
      <c r="E26" s="25" t="s">
        <v>107</v>
      </c>
      <c r="F26" s="27" t="s">
        <v>108</v>
      </c>
      <c r="G26" s="43">
        <v>17100</v>
      </c>
      <c r="H26" s="25">
        <f t="shared" si="1"/>
        <v>17100</v>
      </c>
      <c r="I26" s="43">
        <v>17100</v>
      </c>
      <c r="J26" s="48"/>
      <c r="K26" s="52"/>
      <c r="L26" s="52"/>
      <c r="M26" s="53" t="s">
        <v>109</v>
      </c>
      <c r="N26" s="44"/>
    </row>
    <row r="27" spans="1:14" ht="23.1" customHeight="1">
      <c r="A27" s="14">
        <v>16</v>
      </c>
      <c r="B27" s="27" t="s">
        <v>110</v>
      </c>
      <c r="C27" s="41" t="s">
        <v>62</v>
      </c>
      <c r="D27" s="41" t="s">
        <v>111</v>
      </c>
      <c r="E27" s="25" t="s">
        <v>21</v>
      </c>
      <c r="F27" s="27" t="s">
        <v>112</v>
      </c>
      <c r="G27" s="43">
        <v>6000</v>
      </c>
      <c r="H27" s="25">
        <f t="shared" si="1"/>
        <v>6000</v>
      </c>
      <c r="I27" s="25">
        <v>6000</v>
      </c>
      <c r="J27" s="48"/>
      <c r="K27" s="52"/>
      <c r="L27" s="52"/>
      <c r="M27" s="53" t="s">
        <v>109</v>
      </c>
      <c r="N27" s="44"/>
    </row>
    <row r="28" spans="1:14" ht="23.1" customHeight="1">
      <c r="A28" s="20" t="s">
        <v>116</v>
      </c>
      <c r="B28" s="37" t="s">
        <v>117</v>
      </c>
      <c r="C28" s="38"/>
      <c r="D28" s="39"/>
      <c r="E28" s="38"/>
      <c r="F28" s="39"/>
      <c r="G28" s="112">
        <f>SUM(G29)</f>
        <v>30000</v>
      </c>
      <c r="H28" s="22">
        <f t="shared" ref="H28:L28" si="5">SUM(H29)</f>
        <v>55000</v>
      </c>
      <c r="I28" s="22">
        <f t="shared" si="5"/>
        <v>55000</v>
      </c>
      <c r="J28" s="22">
        <f t="shared" si="5"/>
        <v>0</v>
      </c>
      <c r="K28" s="22">
        <f t="shared" si="5"/>
        <v>0</v>
      </c>
      <c r="L28" s="22">
        <f t="shared" si="5"/>
        <v>0</v>
      </c>
      <c r="M28" s="38"/>
      <c r="N28" s="38"/>
    </row>
    <row r="29" spans="1:14" ht="23.1" customHeight="1">
      <c r="A29" s="14">
        <v>17</v>
      </c>
      <c r="B29" s="40" t="s">
        <v>118</v>
      </c>
      <c r="C29" s="25" t="s">
        <v>119</v>
      </c>
      <c r="D29" s="25" t="s">
        <v>120</v>
      </c>
      <c r="E29" s="44" t="s">
        <v>21</v>
      </c>
      <c r="F29" s="24" t="s">
        <v>121</v>
      </c>
      <c r="G29" s="25">
        <v>30000</v>
      </c>
      <c r="H29" s="25">
        <f t="shared" si="1"/>
        <v>55000</v>
      </c>
      <c r="I29" s="25">
        <v>55000</v>
      </c>
      <c r="J29" s="24"/>
      <c r="K29" s="52"/>
      <c r="L29" s="52"/>
      <c r="M29" s="44" t="s">
        <v>58</v>
      </c>
      <c r="N29" s="44"/>
    </row>
    <row r="30" spans="1:14" ht="24" customHeight="1">
      <c r="A30" s="20" t="s">
        <v>122</v>
      </c>
      <c r="B30" s="37" t="s">
        <v>123</v>
      </c>
      <c r="C30" s="38"/>
      <c r="D30" s="39"/>
      <c r="E30" s="38"/>
      <c r="F30" s="39"/>
      <c r="G30" s="114">
        <f>G31+G43</f>
        <v>70598</v>
      </c>
      <c r="H30" s="45">
        <f t="shared" ref="H30:L30" si="6">H31+H43</f>
        <v>70598</v>
      </c>
      <c r="I30" s="45">
        <f t="shared" si="6"/>
        <v>70598</v>
      </c>
      <c r="J30" s="45">
        <f t="shared" si="6"/>
        <v>0</v>
      </c>
      <c r="K30" s="45">
        <f t="shared" si="6"/>
        <v>0</v>
      </c>
      <c r="L30" s="45">
        <f t="shared" si="6"/>
        <v>0</v>
      </c>
      <c r="M30" s="39"/>
      <c r="N30" s="38"/>
    </row>
    <row r="31" spans="1:14" ht="33" customHeight="1">
      <c r="A31" s="14">
        <v>18</v>
      </c>
      <c r="B31" s="46" t="s">
        <v>124</v>
      </c>
      <c r="C31" s="16" t="s">
        <v>119</v>
      </c>
      <c r="D31" s="16" t="s">
        <v>125</v>
      </c>
      <c r="E31" s="44" t="s">
        <v>21</v>
      </c>
      <c r="F31" s="47" t="s">
        <v>126</v>
      </c>
      <c r="G31" s="18">
        <f>SUM(G32:G42)</f>
        <v>54560</v>
      </c>
      <c r="H31" s="18">
        <f>SUM(H32:H42)</f>
        <v>54560</v>
      </c>
      <c r="I31" s="18">
        <f>SUM(I32:I42)</f>
        <v>54560</v>
      </c>
      <c r="J31" s="24"/>
      <c r="K31" s="52"/>
      <c r="L31" s="52"/>
      <c r="M31" s="44" t="s">
        <v>58</v>
      </c>
      <c r="N31" s="44"/>
    </row>
    <row r="32" spans="1:14" ht="24" customHeight="1">
      <c r="A32" s="14" t="s">
        <v>127</v>
      </c>
      <c r="B32" s="40" t="s">
        <v>128</v>
      </c>
      <c r="C32" s="25" t="s">
        <v>119</v>
      </c>
      <c r="D32" s="25" t="s">
        <v>125</v>
      </c>
      <c r="E32" s="41" t="s">
        <v>43</v>
      </c>
      <c r="F32" s="48" t="s">
        <v>129</v>
      </c>
      <c r="G32" s="49">
        <f>H32</f>
        <v>12959</v>
      </c>
      <c r="H32" s="25">
        <f t="shared" ref="H32:H73" si="7">SUM(I32:L32)</f>
        <v>12959</v>
      </c>
      <c r="I32" s="49">
        <f>ROUND(199.366*65,0)</f>
        <v>12959</v>
      </c>
      <c r="J32" s="54"/>
      <c r="K32" s="52"/>
      <c r="L32" s="52"/>
      <c r="M32" s="44" t="s">
        <v>58</v>
      </c>
      <c r="N32" s="44"/>
    </row>
    <row r="33" spans="1:14" ht="24" customHeight="1">
      <c r="A33" s="14" t="s">
        <v>130</v>
      </c>
      <c r="B33" s="40" t="s">
        <v>131</v>
      </c>
      <c r="C33" s="25" t="s">
        <v>119</v>
      </c>
      <c r="D33" s="25" t="s">
        <v>125</v>
      </c>
      <c r="E33" s="41" t="s">
        <v>132</v>
      </c>
      <c r="F33" s="48" t="s">
        <v>133</v>
      </c>
      <c r="G33" s="49">
        <f t="shared" ref="G33:G42" si="8">H33</f>
        <v>9382</v>
      </c>
      <c r="H33" s="25">
        <f t="shared" si="7"/>
        <v>9382</v>
      </c>
      <c r="I33" s="49">
        <f>ROUND(144.34*65,0)</f>
        <v>9382</v>
      </c>
      <c r="J33" s="54"/>
      <c r="K33" s="52"/>
      <c r="L33" s="52"/>
      <c r="M33" s="44" t="s">
        <v>58</v>
      </c>
      <c r="N33" s="44"/>
    </row>
    <row r="34" spans="1:14" ht="24" customHeight="1">
      <c r="A34" s="14" t="s">
        <v>134</v>
      </c>
      <c r="B34" s="40" t="s">
        <v>135</v>
      </c>
      <c r="C34" s="25" t="s">
        <v>119</v>
      </c>
      <c r="D34" s="25" t="s">
        <v>125</v>
      </c>
      <c r="E34" s="41" t="s">
        <v>136</v>
      </c>
      <c r="F34" s="48" t="s">
        <v>137</v>
      </c>
      <c r="G34" s="49">
        <f t="shared" si="8"/>
        <v>8537</v>
      </c>
      <c r="H34" s="25">
        <f t="shared" si="7"/>
        <v>8537</v>
      </c>
      <c r="I34" s="49">
        <f>ROUND(131.344*65,0)</f>
        <v>8537</v>
      </c>
      <c r="J34" s="54"/>
      <c r="K34" s="52"/>
      <c r="L34" s="52"/>
      <c r="M34" s="44" t="s">
        <v>58</v>
      </c>
      <c r="N34" s="44"/>
    </row>
    <row r="35" spans="1:14" ht="24" customHeight="1">
      <c r="A35" s="14" t="s">
        <v>138</v>
      </c>
      <c r="B35" s="40" t="s">
        <v>139</v>
      </c>
      <c r="C35" s="25" t="s">
        <v>119</v>
      </c>
      <c r="D35" s="25" t="s">
        <v>125</v>
      </c>
      <c r="E35" s="41" t="s">
        <v>140</v>
      </c>
      <c r="F35" s="48" t="s">
        <v>141</v>
      </c>
      <c r="G35" s="49">
        <f t="shared" si="8"/>
        <v>5961</v>
      </c>
      <c r="H35" s="25">
        <f t="shared" si="7"/>
        <v>5961</v>
      </c>
      <c r="I35" s="49">
        <f>ROUND(91.701*65,0)</f>
        <v>5961</v>
      </c>
      <c r="J35" s="54"/>
      <c r="K35" s="52"/>
      <c r="L35" s="52"/>
      <c r="M35" s="44" t="s">
        <v>58</v>
      </c>
      <c r="N35" s="44"/>
    </row>
    <row r="36" spans="1:14" ht="24" customHeight="1">
      <c r="A36" s="14" t="s">
        <v>142</v>
      </c>
      <c r="B36" s="40" t="s">
        <v>143</v>
      </c>
      <c r="C36" s="25" t="s">
        <v>119</v>
      </c>
      <c r="D36" s="25" t="s">
        <v>125</v>
      </c>
      <c r="E36" s="41" t="s">
        <v>144</v>
      </c>
      <c r="F36" s="48" t="s">
        <v>145</v>
      </c>
      <c r="G36" s="49">
        <f t="shared" si="8"/>
        <v>3706</v>
      </c>
      <c r="H36" s="25">
        <f t="shared" si="7"/>
        <v>3706</v>
      </c>
      <c r="I36" s="49">
        <f>ROUND(57.011*65,0)</f>
        <v>3706</v>
      </c>
      <c r="J36" s="54"/>
      <c r="K36" s="52"/>
      <c r="L36" s="52"/>
      <c r="M36" s="44" t="s">
        <v>58</v>
      </c>
      <c r="N36" s="44"/>
    </row>
    <row r="37" spans="1:14" ht="24" customHeight="1">
      <c r="A37" s="14" t="s">
        <v>146</v>
      </c>
      <c r="B37" s="40" t="s">
        <v>147</v>
      </c>
      <c r="C37" s="25" t="s">
        <v>119</v>
      </c>
      <c r="D37" s="25" t="s">
        <v>125</v>
      </c>
      <c r="E37" s="41" t="s">
        <v>148</v>
      </c>
      <c r="F37" s="48" t="s">
        <v>149</v>
      </c>
      <c r="G37" s="49">
        <f t="shared" si="8"/>
        <v>648</v>
      </c>
      <c r="H37" s="25">
        <f t="shared" si="7"/>
        <v>648</v>
      </c>
      <c r="I37" s="49">
        <f>ROUND(9.976*65,0)</f>
        <v>648</v>
      </c>
      <c r="J37" s="54"/>
      <c r="K37" s="52"/>
      <c r="L37" s="52"/>
      <c r="M37" s="44" t="s">
        <v>58</v>
      </c>
      <c r="N37" s="44"/>
    </row>
    <row r="38" spans="1:14" ht="24" customHeight="1">
      <c r="A38" s="14" t="s">
        <v>150</v>
      </c>
      <c r="B38" s="40" t="s">
        <v>151</v>
      </c>
      <c r="C38" s="25" t="s">
        <v>119</v>
      </c>
      <c r="D38" s="25" t="s">
        <v>125</v>
      </c>
      <c r="E38" s="41" t="s">
        <v>152</v>
      </c>
      <c r="F38" s="48" t="s">
        <v>153</v>
      </c>
      <c r="G38" s="49">
        <f t="shared" si="8"/>
        <v>748</v>
      </c>
      <c r="H38" s="25">
        <f t="shared" si="7"/>
        <v>748</v>
      </c>
      <c r="I38" s="49">
        <f>ROUND(11.504*65,0)</f>
        <v>748</v>
      </c>
      <c r="J38" s="54"/>
      <c r="K38" s="52"/>
      <c r="L38" s="52"/>
      <c r="M38" s="44" t="s">
        <v>58</v>
      </c>
      <c r="N38" s="44"/>
    </row>
    <row r="39" spans="1:14" ht="24" customHeight="1">
      <c r="A39" s="14" t="s">
        <v>154</v>
      </c>
      <c r="B39" s="40" t="s">
        <v>155</v>
      </c>
      <c r="C39" s="25" t="s">
        <v>119</v>
      </c>
      <c r="D39" s="25" t="s">
        <v>125</v>
      </c>
      <c r="E39" s="41" t="s">
        <v>156</v>
      </c>
      <c r="F39" s="48" t="s">
        <v>157</v>
      </c>
      <c r="G39" s="49">
        <f t="shared" si="8"/>
        <v>4105</v>
      </c>
      <c r="H39" s="25">
        <f t="shared" si="7"/>
        <v>4105</v>
      </c>
      <c r="I39" s="49">
        <f>ROUND(63.158*65,0)</f>
        <v>4105</v>
      </c>
      <c r="J39" s="54"/>
      <c r="K39" s="52"/>
      <c r="L39" s="52"/>
      <c r="M39" s="44" t="s">
        <v>58</v>
      </c>
      <c r="N39" s="44"/>
    </row>
    <row r="40" spans="1:14" ht="24" customHeight="1">
      <c r="A40" s="14" t="s">
        <v>158</v>
      </c>
      <c r="B40" s="40" t="s">
        <v>159</v>
      </c>
      <c r="C40" s="25" t="s">
        <v>119</v>
      </c>
      <c r="D40" s="25" t="s">
        <v>125</v>
      </c>
      <c r="E40" s="41" t="s">
        <v>160</v>
      </c>
      <c r="F40" s="48" t="s">
        <v>161</v>
      </c>
      <c r="G40" s="49">
        <f t="shared" si="8"/>
        <v>2051</v>
      </c>
      <c r="H40" s="25">
        <f t="shared" si="7"/>
        <v>2051</v>
      </c>
      <c r="I40" s="49">
        <f>ROUND(31.547*65,0)</f>
        <v>2051</v>
      </c>
      <c r="J40" s="54"/>
      <c r="K40" s="52"/>
      <c r="L40" s="52"/>
      <c r="M40" s="44" t="s">
        <v>58</v>
      </c>
      <c r="N40" s="44"/>
    </row>
    <row r="41" spans="1:14" ht="24" customHeight="1">
      <c r="A41" s="14" t="s">
        <v>162</v>
      </c>
      <c r="B41" s="40" t="s">
        <v>163</v>
      </c>
      <c r="C41" s="25" t="s">
        <v>119</v>
      </c>
      <c r="D41" s="25" t="s">
        <v>125</v>
      </c>
      <c r="E41" s="41" t="s">
        <v>164</v>
      </c>
      <c r="F41" s="48" t="s">
        <v>165</v>
      </c>
      <c r="G41" s="49">
        <f t="shared" si="8"/>
        <v>2773</v>
      </c>
      <c r="H41" s="25">
        <f t="shared" si="7"/>
        <v>2773</v>
      </c>
      <c r="I41" s="49">
        <f>ROUND(42.661*65,0)</f>
        <v>2773</v>
      </c>
      <c r="J41" s="54"/>
      <c r="K41" s="52"/>
      <c r="L41" s="52"/>
      <c r="M41" s="44" t="s">
        <v>58</v>
      </c>
      <c r="N41" s="44"/>
    </row>
    <row r="42" spans="1:14" ht="24" customHeight="1">
      <c r="A42" s="14" t="s">
        <v>166</v>
      </c>
      <c r="B42" s="40" t="s">
        <v>167</v>
      </c>
      <c r="C42" s="25" t="s">
        <v>119</v>
      </c>
      <c r="D42" s="25" t="s">
        <v>125</v>
      </c>
      <c r="E42" s="41" t="s">
        <v>168</v>
      </c>
      <c r="F42" s="48" t="s">
        <v>169</v>
      </c>
      <c r="G42" s="49">
        <f t="shared" si="8"/>
        <v>3690</v>
      </c>
      <c r="H42" s="25">
        <f t="shared" si="7"/>
        <v>3690</v>
      </c>
      <c r="I42" s="49">
        <f>ROUND(56.776*65,0)</f>
        <v>3690</v>
      </c>
      <c r="J42" s="54"/>
      <c r="K42" s="52"/>
      <c r="L42" s="52"/>
      <c r="M42" s="44" t="s">
        <v>58</v>
      </c>
      <c r="N42" s="44"/>
    </row>
    <row r="43" spans="1:14" ht="29.25" customHeight="1">
      <c r="A43" s="14">
        <v>19</v>
      </c>
      <c r="B43" s="46" t="s">
        <v>170</v>
      </c>
      <c r="C43" s="16" t="s">
        <v>119</v>
      </c>
      <c r="D43" s="16" t="s">
        <v>171</v>
      </c>
      <c r="E43" s="44" t="s">
        <v>21</v>
      </c>
      <c r="F43" s="47" t="s">
        <v>172</v>
      </c>
      <c r="G43" s="18">
        <f>SUM(G44:G54)</f>
        <v>16038</v>
      </c>
      <c r="H43" s="18">
        <f t="shared" ref="H43:L43" si="9">SUM(H44:H54)</f>
        <v>16038</v>
      </c>
      <c r="I43" s="18">
        <f t="shared" si="9"/>
        <v>16038</v>
      </c>
      <c r="J43" s="18">
        <f t="shared" si="9"/>
        <v>0</v>
      </c>
      <c r="K43" s="18">
        <f t="shared" si="9"/>
        <v>0</v>
      </c>
      <c r="L43" s="18">
        <f t="shared" si="9"/>
        <v>0</v>
      </c>
      <c r="M43" s="44" t="s">
        <v>58</v>
      </c>
      <c r="N43" s="44"/>
    </row>
    <row r="44" spans="1:14" ht="24" customHeight="1">
      <c r="A44" s="14" t="s">
        <v>127</v>
      </c>
      <c r="B44" s="40" t="s">
        <v>173</v>
      </c>
      <c r="C44" s="25" t="s">
        <v>119</v>
      </c>
      <c r="D44" s="25" t="s">
        <v>171</v>
      </c>
      <c r="E44" s="41" t="s">
        <v>43</v>
      </c>
      <c r="F44" s="48" t="s">
        <v>174</v>
      </c>
      <c r="G44" s="49">
        <f>H44</f>
        <v>1588</v>
      </c>
      <c r="H44" s="25">
        <f t="shared" si="7"/>
        <v>1588</v>
      </c>
      <c r="I44" s="49">
        <f>ROUND(26.466*60,0)</f>
        <v>1588</v>
      </c>
      <c r="J44" s="24"/>
      <c r="K44" s="52"/>
      <c r="L44" s="52"/>
      <c r="M44" s="44" t="s">
        <v>58</v>
      </c>
      <c r="N44" s="44"/>
    </row>
    <row r="45" spans="1:14" ht="24" customHeight="1">
      <c r="A45" s="14" t="s">
        <v>130</v>
      </c>
      <c r="B45" s="40" t="s">
        <v>175</v>
      </c>
      <c r="C45" s="25" t="s">
        <v>119</v>
      </c>
      <c r="D45" s="25" t="s">
        <v>171</v>
      </c>
      <c r="E45" s="41" t="s">
        <v>132</v>
      </c>
      <c r="F45" s="48" t="s">
        <v>176</v>
      </c>
      <c r="G45" s="49">
        <f t="shared" ref="G45:G54" si="10">H45</f>
        <v>2196</v>
      </c>
      <c r="H45" s="25">
        <f t="shared" si="7"/>
        <v>2196</v>
      </c>
      <c r="I45" s="49">
        <f>ROUND(36.602*60,0)</f>
        <v>2196</v>
      </c>
      <c r="J45" s="24"/>
      <c r="K45" s="52"/>
      <c r="L45" s="52"/>
      <c r="M45" s="44" t="s">
        <v>58</v>
      </c>
      <c r="N45" s="44"/>
    </row>
    <row r="46" spans="1:14" ht="24" customHeight="1">
      <c r="A46" s="14" t="s">
        <v>134</v>
      </c>
      <c r="B46" s="40" t="s">
        <v>177</v>
      </c>
      <c r="C46" s="25" t="s">
        <v>119</v>
      </c>
      <c r="D46" s="25" t="s">
        <v>171</v>
      </c>
      <c r="E46" s="41" t="s">
        <v>136</v>
      </c>
      <c r="F46" s="48" t="s">
        <v>178</v>
      </c>
      <c r="G46" s="49">
        <f t="shared" si="10"/>
        <v>2007</v>
      </c>
      <c r="H46" s="25">
        <f t="shared" si="7"/>
        <v>2007</v>
      </c>
      <c r="I46" s="49">
        <f>ROUND(33.442*60,0)</f>
        <v>2007</v>
      </c>
      <c r="J46" s="24"/>
      <c r="K46" s="52"/>
      <c r="L46" s="52"/>
      <c r="M46" s="44" t="s">
        <v>58</v>
      </c>
      <c r="N46" s="44"/>
    </row>
    <row r="47" spans="1:14" ht="24" customHeight="1">
      <c r="A47" s="14" t="s">
        <v>138</v>
      </c>
      <c r="B47" s="40" t="s">
        <v>179</v>
      </c>
      <c r="C47" s="25" t="s">
        <v>119</v>
      </c>
      <c r="D47" s="25" t="s">
        <v>171</v>
      </c>
      <c r="E47" s="41" t="s">
        <v>140</v>
      </c>
      <c r="F47" s="48" t="s">
        <v>180</v>
      </c>
      <c r="G47" s="49">
        <f t="shared" si="10"/>
        <v>749</v>
      </c>
      <c r="H47" s="25">
        <f t="shared" si="7"/>
        <v>749</v>
      </c>
      <c r="I47" s="49">
        <f>ROUND(12.491*60,0)</f>
        <v>749</v>
      </c>
      <c r="J47" s="24"/>
      <c r="K47" s="52"/>
      <c r="L47" s="52"/>
      <c r="M47" s="44" t="s">
        <v>58</v>
      </c>
      <c r="N47" s="44"/>
    </row>
    <row r="48" spans="1:14" ht="24" customHeight="1">
      <c r="A48" s="14" t="s">
        <v>142</v>
      </c>
      <c r="B48" s="40" t="s">
        <v>181</v>
      </c>
      <c r="C48" s="25" t="s">
        <v>119</v>
      </c>
      <c r="D48" s="25" t="s">
        <v>171</v>
      </c>
      <c r="E48" s="41" t="s">
        <v>144</v>
      </c>
      <c r="F48" s="48" t="s">
        <v>182</v>
      </c>
      <c r="G48" s="49">
        <f t="shared" si="10"/>
        <v>907</v>
      </c>
      <c r="H48" s="25">
        <f t="shared" si="7"/>
        <v>907</v>
      </c>
      <c r="I48" s="49">
        <f>ROUND(15.114*60,0)</f>
        <v>907</v>
      </c>
      <c r="J48" s="24"/>
      <c r="K48" s="52"/>
      <c r="L48" s="52"/>
      <c r="M48" s="44" t="s">
        <v>58</v>
      </c>
      <c r="N48" s="44"/>
    </row>
    <row r="49" spans="1:14" ht="24" customHeight="1">
      <c r="A49" s="14" t="s">
        <v>146</v>
      </c>
      <c r="B49" s="40" t="s">
        <v>183</v>
      </c>
      <c r="C49" s="25" t="s">
        <v>119</v>
      </c>
      <c r="D49" s="25" t="s">
        <v>171</v>
      </c>
      <c r="E49" s="41" t="s">
        <v>148</v>
      </c>
      <c r="F49" s="48" t="s">
        <v>184</v>
      </c>
      <c r="G49" s="49">
        <f t="shared" si="10"/>
        <v>546</v>
      </c>
      <c r="H49" s="25">
        <f t="shared" si="7"/>
        <v>546</v>
      </c>
      <c r="I49" s="49">
        <f>ROUND(9.1*60,0)</f>
        <v>546</v>
      </c>
      <c r="J49" s="24"/>
      <c r="K49" s="52"/>
      <c r="L49" s="52"/>
      <c r="M49" s="44" t="s">
        <v>58</v>
      </c>
      <c r="N49" s="44"/>
    </row>
    <row r="50" spans="1:14" ht="24" customHeight="1">
      <c r="A50" s="14" t="s">
        <v>150</v>
      </c>
      <c r="B50" s="40" t="s">
        <v>185</v>
      </c>
      <c r="C50" s="25" t="s">
        <v>119</v>
      </c>
      <c r="D50" s="25" t="s">
        <v>171</v>
      </c>
      <c r="E50" s="41" t="s">
        <v>152</v>
      </c>
      <c r="F50" s="48" t="s">
        <v>186</v>
      </c>
      <c r="G50" s="49">
        <f t="shared" si="10"/>
        <v>376</v>
      </c>
      <c r="H50" s="25">
        <f t="shared" si="7"/>
        <v>376</v>
      </c>
      <c r="I50" s="49">
        <f>ROUND(6.274*60,0)</f>
        <v>376</v>
      </c>
      <c r="J50" s="24"/>
      <c r="K50" s="52"/>
      <c r="L50" s="52"/>
      <c r="M50" s="44" t="s">
        <v>58</v>
      </c>
      <c r="N50" s="44"/>
    </row>
    <row r="51" spans="1:14" ht="24" customHeight="1">
      <c r="A51" s="14" t="s">
        <v>154</v>
      </c>
      <c r="B51" s="40" t="s">
        <v>187</v>
      </c>
      <c r="C51" s="25" t="s">
        <v>119</v>
      </c>
      <c r="D51" s="25" t="s">
        <v>171</v>
      </c>
      <c r="E51" s="41" t="s">
        <v>156</v>
      </c>
      <c r="F51" s="48" t="s">
        <v>188</v>
      </c>
      <c r="G51" s="49">
        <f t="shared" si="10"/>
        <v>171</v>
      </c>
      <c r="H51" s="25">
        <f t="shared" si="7"/>
        <v>171</v>
      </c>
      <c r="I51" s="49">
        <f>ROUND(2.847*60,0)</f>
        <v>171</v>
      </c>
      <c r="J51" s="24"/>
      <c r="K51" s="52"/>
      <c r="L51" s="52"/>
      <c r="M51" s="44" t="s">
        <v>58</v>
      </c>
      <c r="N51" s="44"/>
    </row>
    <row r="52" spans="1:14" ht="24" customHeight="1">
      <c r="A52" s="14" t="s">
        <v>158</v>
      </c>
      <c r="B52" s="40" t="s">
        <v>189</v>
      </c>
      <c r="C52" s="25" t="s">
        <v>119</v>
      </c>
      <c r="D52" s="25" t="s">
        <v>171</v>
      </c>
      <c r="E52" s="41" t="s">
        <v>160</v>
      </c>
      <c r="F52" s="48" t="s">
        <v>190</v>
      </c>
      <c r="G52" s="49">
        <f t="shared" si="10"/>
        <v>1531</v>
      </c>
      <c r="H52" s="25">
        <f t="shared" si="7"/>
        <v>1531</v>
      </c>
      <c r="I52" s="49">
        <f>ROUND(25.512*60,0)</f>
        <v>1531</v>
      </c>
      <c r="J52" s="24"/>
      <c r="K52" s="52"/>
      <c r="L52" s="52"/>
      <c r="M52" s="44" t="s">
        <v>58</v>
      </c>
      <c r="N52" s="44"/>
    </row>
    <row r="53" spans="1:14" ht="24" customHeight="1">
      <c r="A53" s="14" t="s">
        <v>162</v>
      </c>
      <c r="B53" s="40" t="s">
        <v>191</v>
      </c>
      <c r="C53" s="25" t="s">
        <v>119</v>
      </c>
      <c r="D53" s="25" t="s">
        <v>171</v>
      </c>
      <c r="E53" s="41" t="s">
        <v>164</v>
      </c>
      <c r="F53" s="48" t="s">
        <v>165</v>
      </c>
      <c r="G53" s="49">
        <f t="shared" si="10"/>
        <v>2560</v>
      </c>
      <c r="H53" s="25">
        <f t="shared" si="7"/>
        <v>2560</v>
      </c>
      <c r="I53" s="49">
        <f>ROUND(42.661*60,0)</f>
        <v>2560</v>
      </c>
      <c r="J53" s="24"/>
      <c r="K53" s="52"/>
      <c r="L53" s="52"/>
      <c r="M53" s="44" t="s">
        <v>58</v>
      </c>
      <c r="N53" s="44"/>
    </row>
    <row r="54" spans="1:14" ht="24" customHeight="1">
      <c r="A54" s="14" t="s">
        <v>166</v>
      </c>
      <c r="B54" s="40" t="s">
        <v>192</v>
      </c>
      <c r="C54" s="25" t="s">
        <v>119</v>
      </c>
      <c r="D54" s="25" t="s">
        <v>171</v>
      </c>
      <c r="E54" s="41" t="s">
        <v>168</v>
      </c>
      <c r="F54" s="48" t="s">
        <v>169</v>
      </c>
      <c r="G54" s="49">
        <f t="shared" si="10"/>
        <v>3407</v>
      </c>
      <c r="H54" s="25">
        <f t="shared" si="7"/>
        <v>3407</v>
      </c>
      <c r="I54" s="49">
        <f>ROUND(56.776*60,0)</f>
        <v>3407</v>
      </c>
      <c r="J54" s="24"/>
      <c r="K54" s="52"/>
      <c r="L54" s="52"/>
      <c r="M54" s="44" t="s">
        <v>58</v>
      </c>
      <c r="N54" s="44"/>
    </row>
    <row r="55" spans="1:14" ht="24" customHeight="1">
      <c r="A55" s="20" t="s">
        <v>193</v>
      </c>
      <c r="B55" s="21" t="s">
        <v>194</v>
      </c>
      <c r="C55" s="22"/>
      <c r="D55" s="22"/>
      <c r="E55" s="22"/>
      <c r="F55" s="23"/>
      <c r="G55" s="112">
        <f>SUM(G56)</f>
        <v>10500</v>
      </c>
      <c r="H55" s="22">
        <f t="shared" ref="H55:L55" si="11">SUM(H56)</f>
        <v>10500</v>
      </c>
      <c r="I55" s="22">
        <f t="shared" si="11"/>
        <v>10500</v>
      </c>
      <c r="J55" s="22">
        <f t="shared" si="11"/>
        <v>0</v>
      </c>
      <c r="K55" s="22">
        <f t="shared" si="11"/>
        <v>0</v>
      </c>
      <c r="L55" s="22">
        <f t="shared" si="11"/>
        <v>0</v>
      </c>
      <c r="M55" s="22"/>
      <c r="N55" s="38"/>
    </row>
    <row r="56" spans="1:14" ht="33" customHeight="1">
      <c r="A56" s="14">
        <v>20</v>
      </c>
      <c r="B56" s="24" t="s">
        <v>195</v>
      </c>
      <c r="C56" s="25" t="s">
        <v>62</v>
      </c>
      <c r="D56" s="25" t="s">
        <v>125</v>
      </c>
      <c r="E56" s="44" t="s">
        <v>21</v>
      </c>
      <c r="F56" s="27" t="s">
        <v>196</v>
      </c>
      <c r="G56" s="25">
        <v>10500</v>
      </c>
      <c r="H56" s="25">
        <f t="shared" si="7"/>
        <v>10500</v>
      </c>
      <c r="I56" s="25">
        <v>10500</v>
      </c>
      <c r="J56" s="25"/>
      <c r="K56" s="44"/>
      <c r="L56" s="44"/>
      <c r="M56" s="44" t="s">
        <v>58</v>
      </c>
      <c r="N56" s="44"/>
    </row>
    <row r="57" spans="1:14" ht="24" customHeight="1">
      <c r="A57" s="20" t="s">
        <v>197</v>
      </c>
      <c r="B57" s="21" t="s">
        <v>198</v>
      </c>
      <c r="C57" s="22"/>
      <c r="D57" s="22"/>
      <c r="E57" s="22"/>
      <c r="F57" s="23"/>
      <c r="G57" s="112">
        <f>SUM(G58:G58)</f>
        <v>3200</v>
      </c>
      <c r="H57" s="22">
        <f>SUM(H58:H58)</f>
        <v>3200</v>
      </c>
      <c r="I57" s="22">
        <f>SUM(I58:I58)</f>
        <v>3200</v>
      </c>
      <c r="J57" s="22">
        <f>SUM(J58:J58)</f>
        <v>0</v>
      </c>
      <c r="K57" s="22">
        <f>SUM(K58:K58)</f>
        <v>0</v>
      </c>
      <c r="L57" s="22">
        <f>SUM(L58:L58)</f>
        <v>0</v>
      </c>
      <c r="M57" s="22"/>
      <c r="N57" s="22"/>
    </row>
    <row r="58" spans="1:14" ht="24" customHeight="1">
      <c r="A58" s="14">
        <v>21</v>
      </c>
      <c r="B58" s="24" t="s">
        <v>202</v>
      </c>
      <c r="C58" s="25" t="s">
        <v>62</v>
      </c>
      <c r="D58" s="25" t="s">
        <v>203</v>
      </c>
      <c r="E58" s="25" t="s">
        <v>140</v>
      </c>
      <c r="F58" s="27" t="s">
        <v>204</v>
      </c>
      <c r="G58" s="25">
        <v>3200</v>
      </c>
      <c r="H58" s="25">
        <f t="shared" si="7"/>
        <v>3200</v>
      </c>
      <c r="I58" s="25">
        <v>3200</v>
      </c>
      <c r="J58" s="25"/>
      <c r="K58" s="44"/>
      <c r="L58" s="44"/>
      <c r="M58" s="44" t="s">
        <v>58</v>
      </c>
      <c r="N58" s="44"/>
    </row>
    <row r="59" spans="1:14" ht="24" customHeight="1">
      <c r="A59" s="20" t="s">
        <v>205</v>
      </c>
      <c r="B59" s="21" t="s">
        <v>206</v>
      </c>
      <c r="C59" s="22"/>
      <c r="D59" s="22"/>
      <c r="E59" s="22"/>
      <c r="F59" s="23"/>
      <c r="G59" s="112">
        <f t="shared" ref="G59:L59" si="12">SUM(G60:G67)</f>
        <v>100000</v>
      </c>
      <c r="H59" s="22">
        <f t="shared" si="12"/>
        <v>100000</v>
      </c>
      <c r="I59" s="22">
        <f t="shared" si="12"/>
        <v>17200</v>
      </c>
      <c r="J59" s="22">
        <f t="shared" si="12"/>
        <v>72800</v>
      </c>
      <c r="K59" s="22">
        <f t="shared" si="12"/>
        <v>0</v>
      </c>
      <c r="L59" s="22">
        <f t="shared" si="12"/>
        <v>10000</v>
      </c>
      <c r="M59" s="22"/>
      <c r="N59" s="22"/>
    </row>
    <row r="60" spans="1:14" ht="23.1" customHeight="1">
      <c r="A60" s="14">
        <v>22</v>
      </c>
      <c r="B60" s="24" t="s">
        <v>207</v>
      </c>
      <c r="C60" s="25" t="s">
        <v>19</v>
      </c>
      <c r="D60" s="25" t="s">
        <v>203</v>
      </c>
      <c r="E60" s="25" t="s">
        <v>43</v>
      </c>
      <c r="F60" s="27" t="s">
        <v>208</v>
      </c>
      <c r="G60" s="25">
        <f>H60</f>
        <v>40000</v>
      </c>
      <c r="H60" s="25">
        <f t="shared" si="7"/>
        <v>40000</v>
      </c>
      <c r="I60" s="25"/>
      <c r="J60" s="25">
        <v>30000</v>
      </c>
      <c r="K60" s="44"/>
      <c r="L60" s="44">
        <v>10000</v>
      </c>
      <c r="M60" s="44" t="s">
        <v>58</v>
      </c>
      <c r="N60" s="44" t="s">
        <v>280</v>
      </c>
    </row>
    <row r="61" spans="1:14" ht="23.1" customHeight="1">
      <c r="A61" s="14">
        <v>23</v>
      </c>
      <c r="B61" s="24" t="s">
        <v>209</v>
      </c>
      <c r="C61" s="25" t="s">
        <v>62</v>
      </c>
      <c r="D61" s="25" t="s">
        <v>210</v>
      </c>
      <c r="E61" s="25" t="s">
        <v>152</v>
      </c>
      <c r="F61" s="27" t="s">
        <v>211</v>
      </c>
      <c r="G61" s="25">
        <f t="shared" ref="G61:G67" si="13">H61</f>
        <v>1000</v>
      </c>
      <c r="H61" s="25">
        <f t="shared" si="7"/>
        <v>1000</v>
      </c>
      <c r="I61" s="25">
        <v>1000</v>
      </c>
      <c r="J61" s="25"/>
      <c r="K61" s="44"/>
      <c r="L61" s="44"/>
      <c r="M61" s="44" t="s">
        <v>58</v>
      </c>
      <c r="N61" s="44" t="s">
        <v>280</v>
      </c>
    </row>
    <row r="62" spans="1:14" ht="23.1" customHeight="1">
      <c r="A62" s="14">
        <v>24</v>
      </c>
      <c r="B62" s="24" t="s">
        <v>212</v>
      </c>
      <c r="C62" s="25" t="s">
        <v>62</v>
      </c>
      <c r="D62" s="25" t="s">
        <v>210</v>
      </c>
      <c r="E62" s="25" t="s">
        <v>136</v>
      </c>
      <c r="F62" s="27" t="s">
        <v>211</v>
      </c>
      <c r="G62" s="25">
        <f t="shared" si="13"/>
        <v>1000</v>
      </c>
      <c r="H62" s="25">
        <f t="shared" si="7"/>
        <v>1000</v>
      </c>
      <c r="I62" s="25">
        <v>1000</v>
      </c>
      <c r="J62" s="25"/>
      <c r="K62" s="44"/>
      <c r="L62" s="44"/>
      <c r="M62" s="44" t="s">
        <v>58</v>
      </c>
      <c r="N62" s="44" t="s">
        <v>280</v>
      </c>
    </row>
    <row r="63" spans="1:14" ht="23.1" customHeight="1">
      <c r="A63" s="14">
        <v>25</v>
      </c>
      <c r="B63" s="24" t="s">
        <v>213</v>
      </c>
      <c r="C63" s="25" t="s">
        <v>62</v>
      </c>
      <c r="D63" s="25" t="s">
        <v>210</v>
      </c>
      <c r="E63" s="25" t="s">
        <v>140</v>
      </c>
      <c r="F63" s="27" t="s">
        <v>211</v>
      </c>
      <c r="G63" s="25">
        <f t="shared" si="13"/>
        <v>1000</v>
      </c>
      <c r="H63" s="25">
        <f t="shared" si="7"/>
        <v>1000</v>
      </c>
      <c r="I63" s="25">
        <v>1000</v>
      </c>
      <c r="J63" s="25"/>
      <c r="K63" s="44"/>
      <c r="L63" s="44"/>
      <c r="M63" s="44" t="s">
        <v>58</v>
      </c>
      <c r="N63" s="44" t="s">
        <v>280</v>
      </c>
    </row>
    <row r="64" spans="1:14" ht="23.1" customHeight="1">
      <c r="A64" s="14">
        <v>26</v>
      </c>
      <c r="B64" s="24" t="s">
        <v>214</v>
      </c>
      <c r="C64" s="25" t="s">
        <v>62</v>
      </c>
      <c r="D64" s="25" t="s">
        <v>210</v>
      </c>
      <c r="E64" s="25" t="s">
        <v>132</v>
      </c>
      <c r="F64" s="27" t="s">
        <v>211</v>
      </c>
      <c r="G64" s="25">
        <f t="shared" si="13"/>
        <v>1000</v>
      </c>
      <c r="H64" s="25">
        <f t="shared" si="7"/>
        <v>1000</v>
      </c>
      <c r="I64" s="25">
        <v>1000</v>
      </c>
      <c r="J64" s="25"/>
      <c r="K64" s="44"/>
      <c r="L64" s="44"/>
      <c r="M64" s="44" t="s">
        <v>58</v>
      </c>
      <c r="N64" s="44" t="s">
        <v>280</v>
      </c>
    </row>
    <row r="65" spans="1:14" ht="23.1" customHeight="1">
      <c r="A65" s="14">
        <v>27</v>
      </c>
      <c r="B65" s="24" t="s">
        <v>215</v>
      </c>
      <c r="C65" s="25" t="s">
        <v>19</v>
      </c>
      <c r="D65" s="25" t="s">
        <v>203</v>
      </c>
      <c r="E65" s="44" t="s">
        <v>21</v>
      </c>
      <c r="F65" s="27" t="s">
        <v>216</v>
      </c>
      <c r="G65" s="25">
        <f t="shared" si="13"/>
        <v>20000</v>
      </c>
      <c r="H65" s="25">
        <f t="shared" si="7"/>
        <v>20000</v>
      </c>
      <c r="I65" s="25">
        <v>5000</v>
      </c>
      <c r="J65" s="25">
        <v>15000</v>
      </c>
      <c r="K65" s="44"/>
      <c r="L65" s="44"/>
      <c r="M65" s="44" t="s">
        <v>58</v>
      </c>
      <c r="N65" s="44" t="s">
        <v>280</v>
      </c>
    </row>
    <row r="66" spans="1:14" ht="23.1" customHeight="1">
      <c r="A66" s="14">
        <v>28</v>
      </c>
      <c r="B66" s="24" t="s">
        <v>217</v>
      </c>
      <c r="C66" s="25" t="s">
        <v>19</v>
      </c>
      <c r="D66" s="25" t="s">
        <v>203</v>
      </c>
      <c r="E66" s="44" t="s">
        <v>218</v>
      </c>
      <c r="F66" s="27" t="s">
        <v>219</v>
      </c>
      <c r="G66" s="25">
        <f t="shared" si="13"/>
        <v>20000</v>
      </c>
      <c r="H66" s="25">
        <f t="shared" si="7"/>
        <v>20000</v>
      </c>
      <c r="I66" s="25">
        <v>5000</v>
      </c>
      <c r="J66" s="25">
        <v>15000</v>
      </c>
      <c r="K66" s="44"/>
      <c r="L66" s="44"/>
      <c r="M66" s="44" t="s">
        <v>58</v>
      </c>
      <c r="N66" s="44" t="s">
        <v>280</v>
      </c>
    </row>
    <row r="67" spans="1:14" ht="23.1" customHeight="1">
      <c r="A67" s="14">
        <v>29</v>
      </c>
      <c r="B67" s="24" t="s">
        <v>294</v>
      </c>
      <c r="C67" s="25" t="s">
        <v>19</v>
      </c>
      <c r="D67" s="25" t="s">
        <v>221</v>
      </c>
      <c r="E67" s="44" t="s">
        <v>21</v>
      </c>
      <c r="F67" s="27" t="s">
        <v>222</v>
      </c>
      <c r="G67" s="25">
        <f t="shared" si="13"/>
        <v>16000</v>
      </c>
      <c r="H67" s="25">
        <f t="shared" si="7"/>
        <v>16000</v>
      </c>
      <c r="I67" s="25">
        <v>3200</v>
      </c>
      <c r="J67" s="25">
        <v>12800</v>
      </c>
      <c r="K67" s="51"/>
      <c r="L67" s="51"/>
      <c r="M67" s="44" t="s">
        <v>58</v>
      </c>
      <c r="N67" s="44"/>
    </row>
    <row r="68" spans="1:14" ht="24" customHeight="1">
      <c r="A68" s="20" t="s">
        <v>223</v>
      </c>
      <c r="B68" s="37" t="s">
        <v>224</v>
      </c>
      <c r="C68" s="22"/>
      <c r="D68" s="21"/>
      <c r="E68" s="22"/>
      <c r="F68" s="21"/>
      <c r="G68" s="112">
        <f>SUM(G69:G71)</f>
        <v>44000</v>
      </c>
      <c r="H68" s="22">
        <f t="shared" ref="H68:L68" si="14">SUM(H69:H71)</f>
        <v>74000</v>
      </c>
      <c r="I68" s="22">
        <f t="shared" si="14"/>
        <v>14000</v>
      </c>
      <c r="J68" s="22">
        <f t="shared" si="14"/>
        <v>50000</v>
      </c>
      <c r="K68" s="22">
        <f t="shared" si="14"/>
        <v>10000</v>
      </c>
      <c r="L68" s="22">
        <f t="shared" si="14"/>
        <v>0</v>
      </c>
      <c r="M68" s="21"/>
      <c r="N68" s="22"/>
    </row>
    <row r="69" spans="1:14" ht="24" customHeight="1">
      <c r="A69" s="14">
        <v>30</v>
      </c>
      <c r="B69" s="36" t="s">
        <v>225</v>
      </c>
      <c r="C69" s="44" t="s">
        <v>19</v>
      </c>
      <c r="D69" s="55" t="s">
        <v>42</v>
      </c>
      <c r="E69" s="44" t="s">
        <v>21</v>
      </c>
      <c r="F69" s="52" t="s">
        <v>226</v>
      </c>
      <c r="G69" s="25">
        <v>20000</v>
      </c>
      <c r="H69" s="25">
        <f t="shared" si="7"/>
        <v>50000</v>
      </c>
      <c r="I69" s="44">
        <v>5000</v>
      </c>
      <c r="J69" s="62">
        <v>40000</v>
      </c>
      <c r="K69" s="62">
        <v>5000</v>
      </c>
      <c r="L69" s="62"/>
      <c r="M69" s="44" t="s">
        <v>58</v>
      </c>
      <c r="N69" s="44" t="s">
        <v>280</v>
      </c>
    </row>
    <row r="70" spans="1:14" ht="24" customHeight="1">
      <c r="A70" s="14">
        <v>31</v>
      </c>
      <c r="B70" s="36" t="s">
        <v>227</v>
      </c>
      <c r="C70" s="44" t="s">
        <v>19</v>
      </c>
      <c r="D70" s="44" t="s">
        <v>42</v>
      </c>
      <c r="E70" s="44" t="s">
        <v>21</v>
      </c>
      <c r="F70" s="52" t="s">
        <v>227</v>
      </c>
      <c r="G70" s="25">
        <v>20000</v>
      </c>
      <c r="H70" s="25">
        <f t="shared" si="7"/>
        <v>20000</v>
      </c>
      <c r="I70" s="62">
        <v>5000</v>
      </c>
      <c r="J70" s="44">
        <v>10000</v>
      </c>
      <c r="K70" s="44">
        <v>5000</v>
      </c>
      <c r="L70" s="51"/>
      <c r="M70" s="44" t="s">
        <v>58</v>
      </c>
      <c r="N70" s="63"/>
    </row>
    <row r="71" spans="1:14" ht="24" customHeight="1">
      <c r="A71" s="14">
        <v>32</v>
      </c>
      <c r="B71" s="36" t="s">
        <v>228</v>
      </c>
      <c r="C71" s="44" t="s">
        <v>62</v>
      </c>
      <c r="D71" s="44" t="s">
        <v>203</v>
      </c>
      <c r="E71" s="44" t="s">
        <v>21</v>
      </c>
      <c r="F71" s="52" t="s">
        <v>229</v>
      </c>
      <c r="G71" s="25">
        <v>4000</v>
      </c>
      <c r="H71" s="25">
        <f t="shared" si="7"/>
        <v>4000</v>
      </c>
      <c r="I71" s="44">
        <v>4000</v>
      </c>
      <c r="J71" s="51"/>
      <c r="K71" s="51"/>
      <c r="L71" s="51"/>
      <c r="M71" s="44" t="s">
        <v>58</v>
      </c>
      <c r="N71" s="44" t="s">
        <v>280</v>
      </c>
    </row>
    <row r="72" spans="1:14" ht="24" customHeight="1">
      <c r="A72" s="20" t="s">
        <v>230</v>
      </c>
      <c r="B72" s="21" t="s">
        <v>231</v>
      </c>
      <c r="C72" s="56"/>
      <c r="D72" s="57"/>
      <c r="E72" s="56"/>
      <c r="F72" s="58"/>
      <c r="G72" s="115">
        <f>SUM(G73)</f>
        <v>1000</v>
      </c>
      <c r="H72" s="59">
        <f t="shared" ref="H72:L72" si="15">SUM(H73:H73)</f>
        <v>1000</v>
      </c>
      <c r="I72" s="59">
        <f t="shared" si="15"/>
        <v>1000</v>
      </c>
      <c r="J72" s="59">
        <f t="shared" si="15"/>
        <v>0</v>
      </c>
      <c r="K72" s="59">
        <f t="shared" si="15"/>
        <v>0</v>
      </c>
      <c r="L72" s="59">
        <f t="shared" si="15"/>
        <v>0</v>
      </c>
      <c r="M72" s="38"/>
      <c r="N72" s="56"/>
    </row>
    <row r="73" spans="1:14" ht="24" customHeight="1">
      <c r="A73" s="14">
        <v>33</v>
      </c>
      <c r="B73" s="60" t="s">
        <v>232</v>
      </c>
      <c r="C73" s="61"/>
      <c r="D73" s="44" t="s">
        <v>233</v>
      </c>
      <c r="E73" s="14"/>
      <c r="F73" s="52" t="s">
        <v>234</v>
      </c>
      <c r="G73" s="25">
        <v>1000</v>
      </c>
      <c r="H73" s="25">
        <f t="shared" si="7"/>
        <v>1000</v>
      </c>
      <c r="I73" s="44">
        <v>1000</v>
      </c>
      <c r="J73" s="61"/>
      <c r="K73" s="61"/>
      <c r="L73" s="61"/>
      <c r="M73" s="44" t="s">
        <v>58</v>
      </c>
      <c r="N73" s="61"/>
    </row>
  </sheetData>
  <mergeCells count="12">
    <mergeCell ref="I2:L2"/>
    <mergeCell ref="M2:M3"/>
    <mergeCell ref="N2:N3"/>
    <mergeCell ref="A1:N1"/>
    <mergeCell ref="A2:A3"/>
    <mergeCell ref="B2:B3"/>
    <mergeCell ref="C2:C3"/>
    <mergeCell ref="D2:D3"/>
    <mergeCell ref="E2:E3"/>
    <mergeCell ref="F2:F3"/>
    <mergeCell ref="G2:G3"/>
    <mergeCell ref="H2:H3"/>
  </mergeCells>
  <phoneticPr fontId="24" type="noConversion"/>
  <printOptions horizontalCentered="1" verticalCentered="1"/>
  <pageMargins left="0.31496062992125984" right="0.31496062992125984" top="0.55118110236220474" bottom="0.55118110236220474" header="0.11811023622047245" footer="0.11811023622047245"/>
  <pageSetup paperSize="9" scale="95" orientation="landscape" r:id="rId1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F4:K19"/>
  <sheetViews>
    <sheetView workbookViewId="0">
      <selection activeCell="M10" sqref="M10"/>
    </sheetView>
  </sheetViews>
  <sheetFormatPr defaultColWidth="9" defaultRowHeight="13.5"/>
  <cols>
    <col min="7" max="7" width="21.5" customWidth="1"/>
    <col min="8" max="8" width="16.125" customWidth="1"/>
    <col min="9" max="9" width="10.375" customWidth="1"/>
  </cols>
  <sheetData>
    <row r="4" spans="6:11" ht="14.25">
      <c r="F4" s="1" t="s">
        <v>0</v>
      </c>
      <c r="G4" s="1" t="s">
        <v>281</v>
      </c>
      <c r="H4" s="1" t="s">
        <v>282</v>
      </c>
      <c r="I4" s="6" t="s">
        <v>283</v>
      </c>
      <c r="J4" s="6" t="s">
        <v>284</v>
      </c>
      <c r="K4" s="7" t="s">
        <v>9</v>
      </c>
    </row>
    <row r="5" spans="6:11">
      <c r="F5" s="2" t="str">
        <f>十四五及中长期!A5</f>
        <v>（一）</v>
      </c>
      <c r="G5" s="2" t="str">
        <f>十四五及中长期!B5</f>
        <v>民航</v>
      </c>
      <c r="H5" s="2">
        <f>十四五及中长期!I5</f>
        <v>200000</v>
      </c>
      <c r="I5" s="8">
        <f>十四五及中长期!G5</f>
        <v>30000</v>
      </c>
      <c r="J5" s="8">
        <f>H5-I5</f>
        <v>170000</v>
      </c>
      <c r="K5" s="4"/>
    </row>
    <row r="6" spans="6:11">
      <c r="F6" s="2" t="str">
        <f>十四五及中长期!A7</f>
        <v>（二）</v>
      </c>
      <c r="G6" s="2" t="str">
        <f>十四五及中长期!B7</f>
        <v>铁路</v>
      </c>
      <c r="H6" s="2">
        <f>十四五及中长期!I7</f>
        <v>8890000</v>
      </c>
      <c r="I6" s="8">
        <f>十四五及中长期!G7</f>
        <v>845000</v>
      </c>
      <c r="J6" s="8">
        <f t="shared" ref="J6:J19" si="0">H6-I6</f>
        <v>8045000</v>
      </c>
      <c r="K6" s="4"/>
    </row>
    <row r="7" spans="6:11">
      <c r="F7" s="2" t="str">
        <f>十四五及中长期!A13</f>
        <v>（三）</v>
      </c>
      <c r="G7" s="2" t="str">
        <f>十四五及中长期!B13</f>
        <v>高速公路、一级公路</v>
      </c>
      <c r="H7" s="2">
        <f>十四五及中长期!I13</f>
        <v>4363000</v>
      </c>
      <c r="I7" s="8">
        <f>十四五及中长期!G13</f>
        <v>480000</v>
      </c>
      <c r="J7" s="8">
        <f t="shared" si="0"/>
        <v>3883000</v>
      </c>
      <c r="K7" s="4"/>
    </row>
    <row r="8" spans="6:11">
      <c r="F8" s="2" t="str">
        <f>十四五及中长期!A18</f>
        <v>（四）</v>
      </c>
      <c r="G8" s="2" t="str">
        <f>十四五及中长期!B18</f>
        <v>国道</v>
      </c>
      <c r="H8" s="2">
        <f>十四五及中长期!I18</f>
        <v>444000</v>
      </c>
      <c r="I8" s="8">
        <f>十四五及中长期!G18</f>
        <v>500</v>
      </c>
      <c r="J8" s="8">
        <f t="shared" si="0"/>
        <v>443500</v>
      </c>
      <c r="K8" s="4"/>
    </row>
    <row r="9" spans="6:11">
      <c r="F9" s="2" t="str">
        <f>十四五及中长期!A20</f>
        <v>（五）</v>
      </c>
      <c r="G9" s="2" t="str">
        <f>十四五及中长期!B20</f>
        <v>省道</v>
      </c>
      <c r="H9" s="2">
        <f>十四五及中长期!I20</f>
        <v>204000</v>
      </c>
      <c r="I9" s="8">
        <f>十四五及中长期!G20</f>
        <v>1000</v>
      </c>
      <c r="J9" s="8">
        <f t="shared" si="0"/>
        <v>203000</v>
      </c>
      <c r="K9" s="4"/>
    </row>
    <row r="10" spans="6:11">
      <c r="F10" s="2" t="str">
        <f>十四五及中长期!A22</f>
        <v>（六）</v>
      </c>
      <c r="G10" s="2" t="str">
        <f>十四五及中长期!B22</f>
        <v>县际联网公路</v>
      </c>
      <c r="H10" s="2">
        <f>十四五及中长期!I22</f>
        <v>1559680</v>
      </c>
      <c r="I10" s="8">
        <f>十四五及中长期!G22</f>
        <v>1000</v>
      </c>
      <c r="J10" s="8">
        <f t="shared" si="0"/>
        <v>1558680</v>
      </c>
      <c r="K10" s="4"/>
    </row>
    <row r="11" spans="6:11">
      <c r="F11" s="2" t="str">
        <f>十四五及中长期!A28</f>
        <v>（七）</v>
      </c>
      <c r="G11" s="3" t="str">
        <f>十四五及中长期!B28</f>
        <v>主要经济干线</v>
      </c>
      <c r="H11" s="2">
        <f>十四五及中长期!I28</f>
        <v>2461400</v>
      </c>
      <c r="I11" s="8">
        <f>十四五及中长期!G28</f>
        <v>63900</v>
      </c>
      <c r="J11" s="8">
        <f t="shared" si="0"/>
        <v>2397500</v>
      </c>
      <c r="K11" s="4"/>
    </row>
    <row r="12" spans="6:11">
      <c r="F12" s="2" t="str">
        <f>十四五及中长期!A37</f>
        <v>（八）</v>
      </c>
      <c r="G12" s="2" t="str">
        <f>十四五及中长期!B37</f>
        <v>建制村公路</v>
      </c>
      <c r="H12" s="2">
        <f>十四五及中长期!I37</f>
        <v>55000</v>
      </c>
      <c r="I12" s="8">
        <f>十四五及中长期!G37</f>
        <v>30000</v>
      </c>
      <c r="J12" s="8">
        <f t="shared" si="0"/>
        <v>25000</v>
      </c>
      <c r="K12" s="4"/>
    </row>
    <row r="13" spans="6:11">
      <c r="F13" s="2" t="str">
        <f>十四五及中长期!A39</f>
        <v>（九）</v>
      </c>
      <c r="G13" s="2" t="str">
        <f>十四五及中长期!B39</f>
        <v>自然村公路工程</v>
      </c>
      <c r="H13" s="2">
        <f>十四五及中长期!I39</f>
        <v>70598</v>
      </c>
      <c r="I13" s="9">
        <f>十四五及中长期!G39</f>
        <v>70598</v>
      </c>
      <c r="J13" s="8">
        <f t="shared" si="0"/>
        <v>0</v>
      </c>
      <c r="K13" s="4"/>
    </row>
    <row r="14" spans="6:11">
      <c r="F14" s="2" t="str">
        <f>十四五及中长期!A64</f>
        <v>（十）</v>
      </c>
      <c r="G14" s="2" t="str">
        <f>十四五及中长期!B64</f>
        <v>公路安全生命防护工程</v>
      </c>
      <c r="H14" s="2">
        <f>十四五及中长期!I64</f>
        <v>10500</v>
      </c>
      <c r="I14" s="8">
        <f>十四五及中长期!G64</f>
        <v>10500</v>
      </c>
      <c r="J14" s="8">
        <f t="shared" si="0"/>
        <v>0</v>
      </c>
      <c r="K14" s="4"/>
    </row>
    <row r="15" spans="6:11">
      <c r="F15" s="2" t="str">
        <f>十四五及中长期!A66</f>
        <v>（十一）</v>
      </c>
      <c r="G15" s="2" t="str">
        <f>十四五及中长期!B66</f>
        <v>专用公路、旅游线路</v>
      </c>
      <c r="H15" s="2">
        <f>十四五及中长期!I66</f>
        <v>8000</v>
      </c>
      <c r="I15" s="8">
        <f>十四五及中长期!G66</f>
        <v>3200</v>
      </c>
      <c r="J15" s="8">
        <f t="shared" si="0"/>
        <v>4800</v>
      </c>
      <c r="K15" s="4"/>
    </row>
    <row r="16" spans="6:11">
      <c r="F16" s="2" t="str">
        <f>十四五及中长期!A69</f>
        <v>（十二）</v>
      </c>
      <c r="G16" s="2" t="str">
        <f>十四五及中长期!B69</f>
        <v>客货运站点、停车场</v>
      </c>
      <c r="H16" s="2">
        <f>十四五及中长期!I69</f>
        <v>100000</v>
      </c>
      <c r="I16" s="8">
        <f>十四五及中长期!G69</f>
        <v>100000</v>
      </c>
      <c r="J16" s="8">
        <f t="shared" si="0"/>
        <v>0</v>
      </c>
      <c r="K16" s="4"/>
    </row>
    <row r="17" spans="6:11">
      <c r="F17" s="2" t="str">
        <f>十四五及中长期!A78</f>
        <v>（十三）</v>
      </c>
      <c r="G17" s="2" t="str">
        <f>十四五及中长期!B78</f>
        <v>港口、水运和码头</v>
      </c>
      <c r="H17" s="2">
        <f>十四五及中长期!I78</f>
        <v>74000</v>
      </c>
      <c r="I17" s="8">
        <f>十四五及中长期!G78</f>
        <v>44000</v>
      </c>
      <c r="J17" s="8">
        <f t="shared" si="0"/>
        <v>30000</v>
      </c>
      <c r="K17" s="4"/>
    </row>
    <row r="18" spans="6:11">
      <c r="F18" s="2" t="str">
        <f>十四五及中长期!A82</f>
        <v>（十四）</v>
      </c>
      <c r="G18" s="2" t="str">
        <f>十四五及中长期!B82</f>
        <v>智能交通</v>
      </c>
      <c r="H18" s="2">
        <f>十四五及中长期!I82</f>
        <v>1000</v>
      </c>
      <c r="I18" s="8">
        <f>十四五及中长期!G82</f>
        <v>1000</v>
      </c>
      <c r="J18" s="8">
        <f t="shared" si="0"/>
        <v>0</v>
      </c>
      <c r="K18" s="4"/>
    </row>
    <row r="19" spans="6:11">
      <c r="F19" s="4"/>
      <c r="G19" s="5" t="s">
        <v>285</v>
      </c>
      <c r="H19" s="2">
        <f>SUM(H5:H18)</f>
        <v>18441178</v>
      </c>
      <c r="I19" s="8">
        <f>SUM(I5:I18)</f>
        <v>1680698</v>
      </c>
      <c r="J19" s="8">
        <f t="shared" si="0"/>
        <v>16760480</v>
      </c>
      <c r="K19" s="4"/>
    </row>
  </sheetData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十四五及中长期</vt:lpstr>
      <vt:lpstr>中长期</vt:lpstr>
      <vt:lpstr>十四五</vt:lpstr>
      <vt:lpstr>Sheet1</vt:lpstr>
      <vt:lpstr>十四五!Print_Titles</vt:lpstr>
      <vt:lpstr>十四五及中长期!Print_Titles</vt:lpstr>
    </vt:vector>
  </TitlesOfParts>
  <Company>楚雄州武定县党政机关单位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nan</cp:lastModifiedBy>
  <cp:lastPrinted>2020-09-30T05:46:00Z</cp:lastPrinted>
  <dcterms:created xsi:type="dcterms:W3CDTF">2020-04-25T09:57:00Z</dcterms:created>
  <dcterms:modified xsi:type="dcterms:W3CDTF">2022-09-16T06:47:39Z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7B2C379871E04BFBAAE10F240C124792</vt:lpwstr>
  </property>
</Properties>
</file>